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52" windowHeight="12360" tabRatio="831"/>
  </bookViews>
  <sheets>
    <sheet name="Приложение2 (2)" sheetId="8" r:id="rId1"/>
    <sheet name="Приложение2" sheetId="7" r:id="rId2"/>
    <sheet name="старая субвенция" sheetId="3" state="hidden" r:id="rId3"/>
  </sheets>
  <definedNames>
    <definedName name="_xlnm._FilterDatabase" localSheetId="1" hidden="1">Приложение2!$A$6:$L$171</definedName>
    <definedName name="_xlnm._FilterDatabase" localSheetId="0" hidden="1">'Приложение2 (2)'!$A$6:$L$171</definedName>
    <definedName name="_xlnm._FilterDatabase" localSheetId="2" hidden="1">'старая субвенция'!$A$6:$L$141</definedName>
    <definedName name="_xlnm.Print_Titles" localSheetId="1">Приложение2!$B:$B,Приложение2!$5:$7</definedName>
    <definedName name="_xlnm.Print_Titles" localSheetId="0">'Приложение2 (2)'!$B:$B,'Приложение2 (2)'!$5:$7</definedName>
    <definedName name="_xlnm.Print_Titles" localSheetId="2">'старая субвенция'!$B:$B,'старая субвенция'!$5:$7</definedName>
    <definedName name="_xlnm.Print_Area" localSheetId="1">Приложение2!$A$1:$M$175</definedName>
    <definedName name="_xlnm.Print_Area" localSheetId="0">'Приложение2 (2)'!$A$1:$M$175</definedName>
  </definedNames>
  <calcPr calcId="152511" refMode="R1C1"/>
</workbook>
</file>

<file path=xl/calcChain.xml><?xml version="1.0" encoding="utf-8"?>
<calcChain xmlns="http://schemas.openxmlformats.org/spreadsheetml/2006/main">
  <c r="L133" i="8" l="1"/>
  <c r="M133" i="8"/>
  <c r="M49" i="8" l="1"/>
  <c r="M44" i="8" s="1"/>
  <c r="M41" i="8" s="1"/>
  <c r="M38" i="8" s="1"/>
  <c r="M22" i="8" s="1"/>
  <c r="M15" i="8" s="1"/>
  <c r="M12" i="8" s="1"/>
  <c r="M25" i="8"/>
  <c r="M135" i="8"/>
  <c r="M134" i="8" s="1"/>
  <c r="M132" i="8" s="1"/>
  <c r="L64" i="8" l="1"/>
  <c r="M64" i="8"/>
  <c r="K64" i="8"/>
  <c r="K73" i="8"/>
  <c r="L73" i="8"/>
  <c r="M73" i="8"/>
  <c r="J73" i="8"/>
  <c r="H73" i="8"/>
  <c r="G55" i="8" l="1"/>
  <c r="G167" i="8"/>
  <c r="G166" i="8"/>
  <c r="G165" i="8"/>
  <c r="M164" i="8"/>
  <c r="L164" i="8"/>
  <c r="K164" i="8"/>
  <c r="J164" i="8"/>
  <c r="I164" i="8"/>
  <c r="H164" i="8"/>
  <c r="G163" i="8"/>
  <c r="G162" i="8"/>
  <c r="G161" i="8"/>
  <c r="M160" i="8"/>
  <c r="L160" i="8"/>
  <c r="K160" i="8"/>
  <c r="J160" i="8"/>
  <c r="J156" i="8" s="1"/>
  <c r="I160" i="8"/>
  <c r="H160" i="8"/>
  <c r="M159" i="8"/>
  <c r="L159" i="8"/>
  <c r="L155" i="8" s="1"/>
  <c r="L151" i="8" s="1"/>
  <c r="L35" i="8" s="1"/>
  <c r="K159" i="8"/>
  <c r="K155" i="8" s="1"/>
  <c r="J159" i="8"/>
  <c r="J151" i="8" s="1"/>
  <c r="I159" i="8"/>
  <c r="H159" i="8"/>
  <c r="M158" i="8"/>
  <c r="M154" i="8" s="1"/>
  <c r="M150" i="8" s="1"/>
  <c r="M34" i="8" s="1"/>
  <c r="M14" i="8" s="1"/>
  <c r="M10" i="8" s="1"/>
  <c r="L158" i="8"/>
  <c r="K158" i="8"/>
  <c r="K154" i="8" s="1"/>
  <c r="K150" i="8" s="1"/>
  <c r="K34" i="8" s="1"/>
  <c r="J158" i="8"/>
  <c r="J154" i="8" s="1"/>
  <c r="I158" i="8"/>
  <c r="I150" i="8" s="1"/>
  <c r="I34" i="8" s="1"/>
  <c r="H158" i="8"/>
  <c r="M157" i="8"/>
  <c r="M153" i="8" s="1"/>
  <c r="L157" i="8"/>
  <c r="K157" i="8"/>
  <c r="K153" i="8" s="1"/>
  <c r="K149" i="8" s="1"/>
  <c r="K33" i="8" s="1"/>
  <c r="K13" i="8" s="1"/>
  <c r="J157" i="8"/>
  <c r="I157" i="8"/>
  <c r="I153" i="8" s="1"/>
  <c r="H157" i="8"/>
  <c r="I156" i="8"/>
  <c r="I152" i="8" s="1"/>
  <c r="M155" i="8"/>
  <c r="J155" i="8"/>
  <c r="I155" i="8"/>
  <c r="H155" i="8"/>
  <c r="L154" i="8"/>
  <c r="H154" i="8"/>
  <c r="J153" i="8"/>
  <c r="M151" i="8"/>
  <c r="M35" i="8" s="1"/>
  <c r="I151" i="8"/>
  <c r="L150" i="8"/>
  <c r="L34" i="8" s="1"/>
  <c r="H150" i="8"/>
  <c r="J149" i="8"/>
  <c r="J33" i="8" s="1"/>
  <c r="J13" i="8" s="1"/>
  <c r="J9" i="8" s="1"/>
  <c r="J169" i="8" s="1"/>
  <c r="L147" i="8"/>
  <c r="G147" i="8" s="1"/>
  <c r="G146" i="8"/>
  <c r="G145" i="8"/>
  <c r="G144" i="8"/>
  <c r="G143" i="8"/>
  <c r="M142" i="8"/>
  <c r="K142" i="8"/>
  <c r="J142" i="8"/>
  <c r="H142" i="8"/>
  <c r="G141" i="8"/>
  <c r="M140" i="8"/>
  <c r="L140" i="8"/>
  <c r="K140" i="8"/>
  <c r="J140" i="8"/>
  <c r="I140" i="8"/>
  <c r="H140" i="8"/>
  <c r="G139" i="8"/>
  <c r="M138" i="8"/>
  <c r="L138" i="8"/>
  <c r="K138" i="8"/>
  <c r="J138" i="8"/>
  <c r="I138" i="8"/>
  <c r="H138" i="8"/>
  <c r="G137" i="8"/>
  <c r="M136" i="8"/>
  <c r="L136" i="8"/>
  <c r="K136" i="8"/>
  <c r="J136" i="8"/>
  <c r="I136" i="8"/>
  <c r="H136" i="8"/>
  <c r="J135" i="8"/>
  <c r="L134" i="8"/>
  <c r="K134" i="8"/>
  <c r="I134" i="8"/>
  <c r="H134" i="8"/>
  <c r="H133" i="8" s="1"/>
  <c r="G131" i="8"/>
  <c r="G130" i="8"/>
  <c r="G129" i="8"/>
  <c r="G128" i="8"/>
  <c r="G127" i="8"/>
  <c r="M126" i="8"/>
  <c r="L126" i="8"/>
  <c r="K126" i="8"/>
  <c r="J126" i="8"/>
  <c r="I126" i="8"/>
  <c r="H126" i="8"/>
  <c r="G125" i="8"/>
  <c r="M124" i="8"/>
  <c r="L124" i="8"/>
  <c r="K124" i="8"/>
  <c r="J124" i="8"/>
  <c r="I124" i="8"/>
  <c r="H124" i="8"/>
  <c r="G123" i="8"/>
  <c r="M122" i="8"/>
  <c r="L122" i="8"/>
  <c r="K122" i="8"/>
  <c r="J122" i="8"/>
  <c r="I122" i="8"/>
  <c r="H122" i="8"/>
  <c r="G121" i="8"/>
  <c r="M120" i="8"/>
  <c r="L120" i="8"/>
  <c r="K120" i="8"/>
  <c r="J120" i="8"/>
  <c r="I120" i="8"/>
  <c r="H120" i="8"/>
  <c r="G119" i="8"/>
  <c r="M118" i="8"/>
  <c r="L118" i="8"/>
  <c r="L117" i="8" s="1"/>
  <c r="L116" i="8" s="1"/>
  <c r="K118" i="8"/>
  <c r="J118" i="8"/>
  <c r="J117" i="8" s="1"/>
  <c r="I118" i="8"/>
  <c r="I117" i="8" s="1"/>
  <c r="H118" i="8"/>
  <c r="H117" i="8" s="1"/>
  <c r="G115" i="8"/>
  <c r="G114" i="8"/>
  <c r="G113" i="8"/>
  <c r="M112" i="8"/>
  <c r="L112" i="8"/>
  <c r="K112" i="8"/>
  <c r="J112" i="8"/>
  <c r="I112" i="8"/>
  <c r="H112" i="8"/>
  <c r="G111" i="8"/>
  <c r="G110" i="8"/>
  <c r="M109" i="8"/>
  <c r="L109" i="8"/>
  <c r="K109" i="8"/>
  <c r="J109" i="8"/>
  <c r="I109" i="8"/>
  <c r="H109" i="8"/>
  <c r="M108" i="8"/>
  <c r="G108" i="8" s="1"/>
  <c r="G107" i="8"/>
  <c r="G106" i="8"/>
  <c r="S105" i="8"/>
  <c r="R105" i="8"/>
  <c r="L105" i="8"/>
  <c r="K105" i="8"/>
  <c r="J105" i="8"/>
  <c r="I105" i="8"/>
  <c r="H105" i="8"/>
  <c r="L104" i="8"/>
  <c r="M103" i="8"/>
  <c r="M100" i="8" s="1"/>
  <c r="M95" i="8" s="1"/>
  <c r="L103" i="8"/>
  <c r="K102" i="8"/>
  <c r="J102" i="8"/>
  <c r="I102" i="8"/>
  <c r="H102" i="8"/>
  <c r="L101" i="8"/>
  <c r="K101" i="8"/>
  <c r="J101" i="8"/>
  <c r="I101" i="8"/>
  <c r="H101" i="8"/>
  <c r="L100" i="8"/>
  <c r="K100" i="8"/>
  <c r="K95" i="8" s="1"/>
  <c r="K85" i="8" s="1"/>
  <c r="K29" i="8" s="1"/>
  <c r="J100" i="8"/>
  <c r="I100" i="8"/>
  <c r="I99" i="8" s="1"/>
  <c r="H100" i="8"/>
  <c r="G98" i="8"/>
  <c r="M97" i="8"/>
  <c r="L97" i="8"/>
  <c r="L96" i="8" s="1"/>
  <c r="L86" i="8" s="1"/>
  <c r="L30" i="8" s="1"/>
  <c r="K97" i="8"/>
  <c r="J97" i="8"/>
  <c r="I97" i="8"/>
  <c r="H97" i="8"/>
  <c r="J95" i="8"/>
  <c r="G93" i="8"/>
  <c r="M92" i="8"/>
  <c r="L92" i="8"/>
  <c r="K92" i="8"/>
  <c r="J92" i="8"/>
  <c r="I92" i="8"/>
  <c r="H92" i="8"/>
  <c r="G91" i="8"/>
  <c r="M90" i="8"/>
  <c r="L90" i="8"/>
  <c r="K90" i="8"/>
  <c r="J90" i="8"/>
  <c r="I90" i="8"/>
  <c r="H90" i="8"/>
  <c r="G89" i="8"/>
  <c r="M88" i="8"/>
  <c r="L88" i="8"/>
  <c r="K88" i="8"/>
  <c r="J88" i="8"/>
  <c r="J87" i="8" s="1"/>
  <c r="J27" i="8" s="1"/>
  <c r="I88" i="8"/>
  <c r="H88" i="8"/>
  <c r="J85" i="8"/>
  <c r="J29" i="8" s="1"/>
  <c r="I83" i="8"/>
  <c r="G83" i="8" s="1"/>
  <c r="I82" i="8"/>
  <c r="G82" i="8" s="1"/>
  <c r="I81" i="8"/>
  <c r="G81" i="8" s="1"/>
  <c r="K80" i="8"/>
  <c r="G80" i="8" s="1"/>
  <c r="G79" i="8"/>
  <c r="M78" i="8"/>
  <c r="M77" i="8" s="1"/>
  <c r="L78" i="8"/>
  <c r="L77" i="8" s="1"/>
  <c r="L76" i="8" s="1"/>
  <c r="L26" i="8" s="1"/>
  <c r="J78" i="8"/>
  <c r="J77" i="8" s="1"/>
  <c r="J76" i="8" s="1"/>
  <c r="J26" i="8" s="1"/>
  <c r="H78" i="8"/>
  <c r="H77" i="8" s="1"/>
  <c r="H76" i="8" s="1"/>
  <c r="H26" i="8" s="1"/>
  <c r="M76" i="8"/>
  <c r="M26" i="8" s="1"/>
  <c r="L75" i="8"/>
  <c r="K75" i="8"/>
  <c r="J75" i="8"/>
  <c r="I74" i="8"/>
  <c r="I73" i="8" s="1"/>
  <c r="M72" i="8"/>
  <c r="M70" i="8" s="1"/>
  <c r="K72" i="8"/>
  <c r="J72" i="8"/>
  <c r="J70" i="8" s="1"/>
  <c r="I72" i="8"/>
  <c r="I70" i="8" s="1"/>
  <c r="G71" i="8"/>
  <c r="L70" i="8"/>
  <c r="H70" i="8"/>
  <c r="G69" i="8"/>
  <c r="G68" i="8"/>
  <c r="M67" i="8"/>
  <c r="M65" i="8" s="1"/>
  <c r="K67" i="8"/>
  <c r="K65" i="8" s="1"/>
  <c r="J67" i="8"/>
  <c r="I67" i="8"/>
  <c r="I65" i="8" s="1"/>
  <c r="L66" i="8"/>
  <c r="L65" i="8" s="1"/>
  <c r="H65" i="8"/>
  <c r="H64" i="8"/>
  <c r="H61" i="8" s="1"/>
  <c r="M63" i="8"/>
  <c r="M60" i="8" s="1"/>
  <c r="M57" i="8" s="1"/>
  <c r="M24" i="8" s="1"/>
  <c r="L63" i="8"/>
  <c r="K63" i="8"/>
  <c r="J63" i="8"/>
  <c r="H63" i="8"/>
  <c r="H60" i="8" s="1"/>
  <c r="K60" i="8"/>
  <c r="K57" i="8" s="1"/>
  <c r="J54" i="8"/>
  <c r="G54" i="8" s="1"/>
  <c r="K53" i="8"/>
  <c r="K44" i="8" s="1"/>
  <c r="K41" i="8" s="1"/>
  <c r="K38" i="8" s="1"/>
  <c r="K22" i="8" s="1"/>
  <c r="J53" i="8"/>
  <c r="I53" i="8"/>
  <c r="L52" i="8"/>
  <c r="L43" i="8" s="1"/>
  <c r="L40" i="8" s="1"/>
  <c r="K52" i="8"/>
  <c r="K43" i="8" s="1"/>
  <c r="K40" i="8" s="1"/>
  <c r="K37" i="8" s="1"/>
  <c r="K21" i="8" s="1"/>
  <c r="K20" i="8" s="1"/>
  <c r="J52" i="8"/>
  <c r="I52" i="8"/>
  <c r="H51" i="8"/>
  <c r="G51" i="8" s="1"/>
  <c r="L50" i="8"/>
  <c r="L44" i="8" s="1"/>
  <c r="L41" i="8" s="1"/>
  <c r="L38" i="8" s="1"/>
  <c r="L22" i="8" s="1"/>
  <c r="H50" i="8"/>
  <c r="J49" i="8"/>
  <c r="I49" i="8"/>
  <c r="H49" i="8"/>
  <c r="M48" i="8"/>
  <c r="J48" i="8"/>
  <c r="J44" i="8" s="1"/>
  <c r="J41" i="8" s="1"/>
  <c r="I48" i="8"/>
  <c r="H48" i="8"/>
  <c r="G47" i="8"/>
  <c r="M46" i="8"/>
  <c r="M43" i="8" s="1"/>
  <c r="M40" i="8" s="1"/>
  <c r="M37" i="8" s="1"/>
  <c r="M21" i="8" s="1"/>
  <c r="J46" i="8"/>
  <c r="I46" i="8"/>
  <c r="H46" i="8"/>
  <c r="M45" i="8"/>
  <c r="L45" i="8"/>
  <c r="K45" i="8"/>
  <c r="J35" i="8"/>
  <c r="I35" i="8"/>
  <c r="H34" i="8"/>
  <c r="G19" i="8"/>
  <c r="J18" i="8"/>
  <c r="J17" i="8" s="1"/>
  <c r="J16" i="8" s="1"/>
  <c r="I18" i="8"/>
  <c r="I17" i="8" s="1"/>
  <c r="H18" i="8"/>
  <c r="H17" i="8" s="1"/>
  <c r="H16" i="8" s="1"/>
  <c r="M17" i="8"/>
  <c r="L17" i="8"/>
  <c r="L16" i="8" s="1"/>
  <c r="K17" i="8"/>
  <c r="K16" i="8" s="1"/>
  <c r="M16" i="8"/>
  <c r="L61" i="8" l="1"/>
  <c r="L58" i="8" s="1"/>
  <c r="N58" i="8" s="1"/>
  <c r="K87" i="8"/>
  <c r="K27" i="8" s="1"/>
  <c r="M104" i="8"/>
  <c r="G104" i="8" s="1"/>
  <c r="M117" i="8"/>
  <c r="M116" i="8" s="1"/>
  <c r="G126" i="8"/>
  <c r="I116" i="8"/>
  <c r="I45" i="8"/>
  <c r="G66" i="8"/>
  <c r="H99" i="8"/>
  <c r="L99" i="8"/>
  <c r="K99" i="8"/>
  <c r="M105" i="8"/>
  <c r="H57" i="8"/>
  <c r="H24" i="8"/>
  <c r="H59" i="8"/>
  <c r="L87" i="8"/>
  <c r="L27" i="8" s="1"/>
  <c r="G124" i="8"/>
  <c r="I132" i="8"/>
  <c r="G135" i="8"/>
  <c r="G140" i="8"/>
  <c r="I148" i="8"/>
  <c r="G159" i="8"/>
  <c r="I43" i="8"/>
  <c r="I40" i="8" s="1"/>
  <c r="H95" i="8"/>
  <c r="H85" i="8" s="1"/>
  <c r="G122" i="8"/>
  <c r="I154" i="8"/>
  <c r="I31" i="8"/>
  <c r="L25" i="8"/>
  <c r="G50" i="8"/>
  <c r="G112" i="8"/>
  <c r="K117" i="8"/>
  <c r="K116" i="8" s="1"/>
  <c r="G120" i="8"/>
  <c r="J152" i="8"/>
  <c r="J148" i="8"/>
  <c r="J38" i="8"/>
  <c r="J22" i="8"/>
  <c r="G52" i="8"/>
  <c r="M62" i="8"/>
  <c r="J64" i="8"/>
  <c r="J61" i="8" s="1"/>
  <c r="J58" i="8" s="1"/>
  <c r="J25" i="8" s="1"/>
  <c r="G75" i="8"/>
  <c r="K78" i="8"/>
  <c r="K77" i="8" s="1"/>
  <c r="K76" i="8" s="1"/>
  <c r="K26" i="8" s="1"/>
  <c r="G90" i="8"/>
  <c r="K96" i="8"/>
  <c r="H116" i="8"/>
  <c r="H31" i="8" s="1"/>
  <c r="G118" i="8"/>
  <c r="K133" i="8"/>
  <c r="K132" i="8" s="1"/>
  <c r="G138" i="8"/>
  <c r="H151" i="8"/>
  <c r="H35" i="8" s="1"/>
  <c r="G158" i="8"/>
  <c r="L62" i="8"/>
  <c r="G48" i="8"/>
  <c r="I95" i="8"/>
  <c r="I96" i="8"/>
  <c r="I86" i="8" s="1"/>
  <c r="I30" i="8" s="1"/>
  <c r="L142" i="8"/>
  <c r="L132" i="8" s="1"/>
  <c r="L31" i="8" s="1"/>
  <c r="G49" i="8"/>
  <c r="J45" i="8"/>
  <c r="I64" i="8"/>
  <c r="I61" i="8" s="1"/>
  <c r="I58" i="8" s="1"/>
  <c r="I25" i="8" s="1"/>
  <c r="I78" i="8"/>
  <c r="I77" i="8" s="1"/>
  <c r="I76" i="8" s="1"/>
  <c r="I26" i="8" s="1"/>
  <c r="G26" i="8" s="1"/>
  <c r="I87" i="8"/>
  <c r="I27" i="8" s="1"/>
  <c r="M87" i="8"/>
  <c r="M27" i="8" s="1"/>
  <c r="G100" i="8"/>
  <c r="J99" i="8"/>
  <c r="G109" i="8"/>
  <c r="J116" i="8"/>
  <c r="I133" i="8"/>
  <c r="J134" i="8"/>
  <c r="G134" i="8" s="1"/>
  <c r="M31" i="8"/>
  <c r="I149" i="8"/>
  <c r="I33" i="8" s="1"/>
  <c r="I13" i="8" s="1"/>
  <c r="I9" i="8" s="1"/>
  <c r="I169" i="8" s="1"/>
  <c r="K152" i="8"/>
  <c r="M170" i="8"/>
  <c r="P10" i="8" s="1"/>
  <c r="O10" i="8"/>
  <c r="I16" i="8"/>
  <c r="G16" i="8" s="1"/>
  <c r="K9" i="8"/>
  <c r="H29" i="8"/>
  <c r="G18" i="8"/>
  <c r="K24" i="8"/>
  <c r="J43" i="8"/>
  <c r="H44" i="8"/>
  <c r="H45" i="8"/>
  <c r="G53" i="8"/>
  <c r="H58" i="8"/>
  <c r="L60" i="8"/>
  <c r="J60" i="8"/>
  <c r="J62" i="8"/>
  <c r="G67" i="8"/>
  <c r="G65" i="8" s="1"/>
  <c r="G73" i="8"/>
  <c r="M85" i="8"/>
  <c r="J96" i="8"/>
  <c r="J86" i="8" s="1"/>
  <c r="J30" i="8" s="1"/>
  <c r="L102" i="8"/>
  <c r="G103" i="8"/>
  <c r="G136" i="8"/>
  <c r="H132" i="8"/>
  <c r="G157" i="8"/>
  <c r="H153" i="8"/>
  <c r="L156" i="8"/>
  <c r="L153" i="8"/>
  <c r="G17" i="8"/>
  <c r="K36" i="8"/>
  <c r="K39" i="8"/>
  <c r="L42" i="8"/>
  <c r="K42" i="8"/>
  <c r="G88" i="8"/>
  <c r="H87" i="8"/>
  <c r="L95" i="8"/>
  <c r="M101" i="8"/>
  <c r="M96" i="8" s="1"/>
  <c r="M86" i="8" s="1"/>
  <c r="M30" i="8" s="1"/>
  <c r="G105" i="8"/>
  <c r="J150" i="8"/>
  <c r="J34" i="8" s="1"/>
  <c r="J32" i="8" s="1"/>
  <c r="M152" i="8"/>
  <c r="M149" i="8"/>
  <c r="G155" i="8"/>
  <c r="K70" i="8"/>
  <c r="G70" i="8" s="1"/>
  <c r="G74" i="8"/>
  <c r="I63" i="8"/>
  <c r="J28" i="8"/>
  <c r="L39" i="8"/>
  <c r="L37" i="8"/>
  <c r="J65" i="8"/>
  <c r="G92" i="8"/>
  <c r="H96" i="8"/>
  <c r="G97" i="8"/>
  <c r="H149" i="8"/>
  <c r="K151" i="8"/>
  <c r="K156" i="8"/>
  <c r="G160" i="8"/>
  <c r="H156" i="8"/>
  <c r="G46" i="8"/>
  <c r="H43" i="8"/>
  <c r="I44" i="8"/>
  <c r="I41" i="8" s="1"/>
  <c r="H62" i="8"/>
  <c r="G72" i="8"/>
  <c r="G154" i="8"/>
  <c r="M156" i="8"/>
  <c r="G164" i="8"/>
  <c r="M158" i="7"/>
  <c r="M159" i="7"/>
  <c r="M157" i="7"/>
  <c r="I164" i="7"/>
  <c r="J164" i="7"/>
  <c r="K164" i="7"/>
  <c r="L164" i="7"/>
  <c r="M164" i="7"/>
  <c r="H164" i="7"/>
  <c r="G167" i="7"/>
  <c r="G166" i="7"/>
  <c r="G165" i="7"/>
  <c r="L15" i="8" l="1"/>
  <c r="L11" i="8" s="1"/>
  <c r="M102" i="8"/>
  <c r="G102" i="8" s="1"/>
  <c r="I32" i="8"/>
  <c r="K31" i="8"/>
  <c r="G78" i="8"/>
  <c r="G153" i="8"/>
  <c r="G117" i="8"/>
  <c r="G116" i="8"/>
  <c r="I42" i="8"/>
  <c r="M99" i="8"/>
  <c r="G99" i="8" s="1"/>
  <c r="J84" i="8"/>
  <c r="J133" i="8"/>
  <c r="G133" i="8" s="1"/>
  <c r="M61" i="8"/>
  <c r="M58" i="8" s="1"/>
  <c r="M56" i="8" s="1"/>
  <c r="G45" i="8"/>
  <c r="G76" i="8"/>
  <c r="G77" i="8"/>
  <c r="J94" i="8"/>
  <c r="J132" i="8"/>
  <c r="J31" i="8" s="1"/>
  <c r="G31" i="8" s="1"/>
  <c r="I94" i="8"/>
  <c r="I85" i="8"/>
  <c r="K86" i="8"/>
  <c r="K94" i="8"/>
  <c r="G142" i="8"/>
  <c r="L94" i="8"/>
  <c r="L85" i="8"/>
  <c r="L57" i="8"/>
  <c r="L59" i="8"/>
  <c r="G44" i="8"/>
  <c r="H41" i="8"/>
  <c r="L171" i="8"/>
  <c r="N11" i="8"/>
  <c r="K169" i="8"/>
  <c r="K35" i="8"/>
  <c r="K148" i="8"/>
  <c r="G151" i="8"/>
  <c r="H86" i="8"/>
  <c r="G96" i="8"/>
  <c r="H94" i="8"/>
  <c r="I39" i="8"/>
  <c r="I37" i="8"/>
  <c r="I21" i="8"/>
  <c r="K61" i="8"/>
  <c r="K62" i="8"/>
  <c r="M148" i="8"/>
  <c r="M33" i="8"/>
  <c r="G87" i="8"/>
  <c r="H27" i="8"/>
  <c r="G27" i="8" s="1"/>
  <c r="M42" i="8"/>
  <c r="G64" i="8"/>
  <c r="H25" i="8"/>
  <c r="H56" i="8"/>
  <c r="J42" i="8"/>
  <c r="J40" i="8"/>
  <c r="G101" i="8"/>
  <c r="H148" i="8"/>
  <c r="H152" i="8"/>
  <c r="G156" i="8"/>
  <c r="H33" i="8"/>
  <c r="L36" i="8"/>
  <c r="L21" i="8"/>
  <c r="G95" i="8"/>
  <c r="G34" i="8"/>
  <c r="L149" i="8"/>
  <c r="L152" i="8"/>
  <c r="G150" i="8"/>
  <c r="M84" i="8"/>
  <c r="M29" i="8"/>
  <c r="M28" i="8" s="1"/>
  <c r="K14" i="8"/>
  <c r="G43" i="8"/>
  <c r="H42" i="8"/>
  <c r="H40" i="8"/>
  <c r="M23" i="8"/>
  <c r="I22" i="8"/>
  <c r="I38" i="8"/>
  <c r="I62" i="8"/>
  <c r="I60" i="8"/>
  <c r="G63" i="8"/>
  <c r="J59" i="8"/>
  <c r="J24" i="8"/>
  <c r="J23" i="8" s="1"/>
  <c r="J57" i="8"/>
  <c r="J56" i="8" s="1"/>
  <c r="M94" i="8"/>
  <c r="G164" i="7"/>
  <c r="G152" i="8" l="1"/>
  <c r="J15" i="8"/>
  <c r="J11" i="8" s="1"/>
  <c r="J171" i="8" s="1"/>
  <c r="G132" i="8"/>
  <c r="G62" i="8"/>
  <c r="I29" i="8"/>
  <c r="I28" i="8" s="1"/>
  <c r="I84" i="8"/>
  <c r="I15" i="8"/>
  <c r="I11" i="8" s="1"/>
  <c r="I171" i="8" s="1"/>
  <c r="M59" i="8"/>
  <c r="K30" i="8"/>
  <c r="K28" i="8" s="1"/>
  <c r="K84" i="8"/>
  <c r="G42" i="8"/>
  <c r="L148" i="8"/>
  <c r="L33" i="8"/>
  <c r="J37" i="8"/>
  <c r="J36" i="8" s="1"/>
  <c r="J21" i="8"/>
  <c r="J39" i="8"/>
  <c r="I59" i="8"/>
  <c r="I57" i="8"/>
  <c r="I24" i="8"/>
  <c r="G60" i="8"/>
  <c r="G33" i="8"/>
  <c r="H32" i="8"/>
  <c r="H13" i="8"/>
  <c r="G148" i="8"/>
  <c r="K59" i="8"/>
  <c r="K58" i="8"/>
  <c r="G61" i="8"/>
  <c r="G94" i="8"/>
  <c r="L56" i="8"/>
  <c r="L24" i="8"/>
  <c r="L23" i="8" s="1"/>
  <c r="K10" i="8"/>
  <c r="M32" i="8"/>
  <c r="M13" i="8"/>
  <c r="I20" i="8"/>
  <c r="K32" i="8"/>
  <c r="G35" i="8"/>
  <c r="H38" i="8"/>
  <c r="H22" i="8"/>
  <c r="G41" i="8"/>
  <c r="L29" i="8"/>
  <c r="L84" i="8"/>
  <c r="G85" i="8"/>
  <c r="G149" i="8"/>
  <c r="H39" i="8"/>
  <c r="G40" i="8"/>
  <c r="H37" i="8"/>
  <c r="H21" i="8"/>
  <c r="L20" i="8"/>
  <c r="H23" i="8"/>
  <c r="M39" i="8"/>
  <c r="I36" i="8"/>
  <c r="H30" i="8"/>
  <c r="G86" i="8"/>
  <c r="H84" i="8"/>
  <c r="M135" i="7"/>
  <c r="M108" i="7"/>
  <c r="M49" i="7"/>
  <c r="M48" i="7"/>
  <c r="L14" i="8" l="1"/>
  <c r="L10" i="8" s="1"/>
  <c r="G59" i="8"/>
  <c r="G84" i="8"/>
  <c r="G22" i="8"/>
  <c r="M36" i="8"/>
  <c r="G38" i="8"/>
  <c r="L32" i="8"/>
  <c r="G32" i="8" s="1"/>
  <c r="L13" i="8"/>
  <c r="G13" i="8" s="1"/>
  <c r="G30" i="8"/>
  <c r="H28" i="8"/>
  <c r="H15" i="8" s="1"/>
  <c r="H14" i="8"/>
  <c r="G21" i="8"/>
  <c r="H20" i="8"/>
  <c r="H9" i="8"/>
  <c r="I23" i="8"/>
  <c r="G24" i="8"/>
  <c r="J14" i="8"/>
  <c r="J20" i="8"/>
  <c r="G37" i="8"/>
  <c r="H36" i="8"/>
  <c r="I14" i="8"/>
  <c r="K25" i="8"/>
  <c r="K56" i="8"/>
  <c r="G58" i="8"/>
  <c r="I56" i="8"/>
  <c r="G57" i="8"/>
  <c r="L170" i="8"/>
  <c r="N10" i="8"/>
  <c r="G39" i="8"/>
  <c r="L28" i="8"/>
  <c r="G29" i="8"/>
  <c r="M9" i="8"/>
  <c r="K170" i="8"/>
  <c r="M46" i="7"/>
  <c r="M43" i="7" s="1"/>
  <c r="H11" i="8" l="1"/>
  <c r="G56" i="8"/>
  <c r="K15" i="8"/>
  <c r="K23" i="8"/>
  <c r="G23" i="8" s="1"/>
  <c r="G25" i="8"/>
  <c r="G36" i="8"/>
  <c r="H12" i="8"/>
  <c r="M169" i="8"/>
  <c r="O9" i="8"/>
  <c r="I12" i="8"/>
  <c r="I10" i="8"/>
  <c r="G28" i="8"/>
  <c r="J10" i="8"/>
  <c r="J12" i="8"/>
  <c r="H169" i="8"/>
  <c r="H10" i="8"/>
  <c r="G14" i="8"/>
  <c r="L12" i="8"/>
  <c r="L9" i="8"/>
  <c r="G9" i="8" s="1"/>
  <c r="M20" i="8"/>
  <c r="G20" i="8" s="1"/>
  <c r="M44" i="7"/>
  <c r="M11" i="8" l="1"/>
  <c r="K11" i="8"/>
  <c r="K12" i="8"/>
  <c r="G12" i="8" s="1"/>
  <c r="H170" i="8"/>
  <c r="G10" i="8"/>
  <c r="H171" i="8"/>
  <c r="L169" i="8"/>
  <c r="L168" i="8" s="1"/>
  <c r="N9" i="8"/>
  <c r="N8" i="8" s="1"/>
  <c r="L8" i="8"/>
  <c r="H8" i="8"/>
  <c r="J170" i="8"/>
  <c r="J168" i="8" s="1"/>
  <c r="J8" i="8"/>
  <c r="I170" i="8"/>
  <c r="I168" i="8" s="1"/>
  <c r="I8" i="8"/>
  <c r="G15" i="8"/>
  <c r="M17" i="7"/>
  <c r="M104" i="7"/>
  <c r="M101" i="7" s="1"/>
  <c r="G115" i="7"/>
  <c r="G169" i="8" l="1"/>
  <c r="G11" i="8"/>
  <c r="G170" i="8"/>
  <c r="K171" i="8"/>
  <c r="K168" i="8" s="1"/>
  <c r="K8" i="8"/>
  <c r="H168" i="8"/>
  <c r="M171" i="8"/>
  <c r="M168" i="8" s="1"/>
  <c r="O11" i="8"/>
  <c r="O8" i="8" s="1"/>
  <c r="M8" i="8"/>
  <c r="S105" i="7"/>
  <c r="R105" i="7"/>
  <c r="P11" i="8" l="1"/>
  <c r="P8" i="8"/>
  <c r="G168" i="8"/>
  <c r="G8" i="8"/>
  <c r="G171" i="8"/>
  <c r="L65" i="7"/>
  <c r="M103" i="7"/>
  <c r="M105" i="7"/>
  <c r="G107" i="7"/>
  <c r="G108" i="7"/>
  <c r="G106" i="7"/>
  <c r="L105" i="7"/>
  <c r="K105" i="7"/>
  <c r="J105" i="7"/>
  <c r="I105" i="7"/>
  <c r="H105" i="7"/>
  <c r="G105" i="7" l="1"/>
  <c r="L147" i="7"/>
  <c r="L75" i="7" l="1"/>
  <c r="L50" i="7"/>
  <c r="M71" i="7" l="1"/>
  <c r="K45" i="7" l="1"/>
  <c r="M45" i="7"/>
  <c r="G47" i="7"/>
  <c r="L45" i="7"/>
  <c r="G163" i="7"/>
  <c r="G162" i="7"/>
  <c r="G161" i="7"/>
  <c r="M160" i="7"/>
  <c r="L160" i="7"/>
  <c r="K160" i="7"/>
  <c r="J160" i="7"/>
  <c r="I160" i="7"/>
  <c r="I156" i="7" s="1"/>
  <c r="H160" i="7"/>
  <c r="M155" i="7"/>
  <c r="M151" i="7" s="1"/>
  <c r="M35" i="7" s="1"/>
  <c r="L159" i="7"/>
  <c r="L155" i="7" s="1"/>
  <c r="K159" i="7"/>
  <c r="K155" i="7" s="1"/>
  <c r="K151" i="7" s="1"/>
  <c r="K35" i="7" s="1"/>
  <c r="J159" i="7"/>
  <c r="J155" i="7" s="1"/>
  <c r="I159" i="7"/>
  <c r="I155" i="7" s="1"/>
  <c r="H159" i="7"/>
  <c r="H151" i="7" s="1"/>
  <c r="M154" i="7"/>
  <c r="L158" i="7"/>
  <c r="L154" i="7" s="1"/>
  <c r="L150" i="7" s="1"/>
  <c r="L34" i="7" s="1"/>
  <c r="K158" i="7"/>
  <c r="J158" i="7"/>
  <c r="J154" i="7" s="1"/>
  <c r="I158" i="7"/>
  <c r="I150" i="7" s="1"/>
  <c r="I34" i="7" s="1"/>
  <c r="H158" i="7"/>
  <c r="H150" i="7" s="1"/>
  <c r="H34" i="7" s="1"/>
  <c r="M153" i="7"/>
  <c r="M149" i="7" s="1"/>
  <c r="L157" i="7"/>
  <c r="L153" i="7" s="1"/>
  <c r="L149" i="7" s="1"/>
  <c r="L33" i="7" s="1"/>
  <c r="L13" i="7" s="1"/>
  <c r="L9" i="7" s="1"/>
  <c r="N9" i="7" s="1"/>
  <c r="K157" i="7"/>
  <c r="K153" i="7" s="1"/>
  <c r="K149" i="7" s="1"/>
  <c r="K33" i="7" s="1"/>
  <c r="K13" i="7" s="1"/>
  <c r="K9" i="7" s="1"/>
  <c r="K169" i="7" s="1"/>
  <c r="J157" i="7"/>
  <c r="J149" i="7" s="1"/>
  <c r="J33" i="7" s="1"/>
  <c r="I157" i="7"/>
  <c r="I149" i="7" s="1"/>
  <c r="I33" i="7" s="1"/>
  <c r="I13" i="7" s="1"/>
  <c r="I9" i="7" s="1"/>
  <c r="I169" i="7" s="1"/>
  <c r="H157" i="7"/>
  <c r="H153" i="7" s="1"/>
  <c r="J156" i="7"/>
  <c r="J152" i="7" s="1"/>
  <c r="H156" i="7"/>
  <c r="H152" i="7" s="1"/>
  <c r="I153" i="7"/>
  <c r="J151" i="7"/>
  <c r="J35" i="7" s="1"/>
  <c r="G147" i="7"/>
  <c r="G146" i="7"/>
  <c r="G145" i="7"/>
  <c r="G144" i="7"/>
  <c r="G143" i="7"/>
  <c r="M142" i="7"/>
  <c r="L142" i="7"/>
  <c r="K142" i="7"/>
  <c r="J142" i="7"/>
  <c r="H142" i="7"/>
  <c r="G141" i="7"/>
  <c r="M140" i="7"/>
  <c r="L140" i="7"/>
  <c r="K140" i="7"/>
  <c r="J140" i="7"/>
  <c r="I140" i="7"/>
  <c r="H140" i="7"/>
  <c r="G139" i="7"/>
  <c r="M138" i="7"/>
  <c r="L138" i="7"/>
  <c r="K138" i="7"/>
  <c r="J138" i="7"/>
  <c r="I138" i="7"/>
  <c r="H138" i="7"/>
  <c r="G137" i="7"/>
  <c r="M136" i="7"/>
  <c r="L136" i="7"/>
  <c r="K136" i="7"/>
  <c r="J136" i="7"/>
  <c r="I136" i="7"/>
  <c r="H136" i="7"/>
  <c r="M134" i="7"/>
  <c r="J135" i="7"/>
  <c r="L134" i="7"/>
  <c r="K134" i="7"/>
  <c r="I134" i="7"/>
  <c r="H134" i="7"/>
  <c r="H133" i="7" s="1"/>
  <c r="G131" i="7"/>
  <c r="G130" i="7"/>
  <c r="G129" i="7"/>
  <c r="G128" i="7"/>
  <c r="G127" i="7"/>
  <c r="M126" i="7"/>
  <c r="L126" i="7"/>
  <c r="K126" i="7"/>
  <c r="J126" i="7"/>
  <c r="I126" i="7"/>
  <c r="H126" i="7"/>
  <c r="G125" i="7"/>
  <c r="M124" i="7"/>
  <c r="L124" i="7"/>
  <c r="K124" i="7"/>
  <c r="J124" i="7"/>
  <c r="I124" i="7"/>
  <c r="H124" i="7"/>
  <c r="G123" i="7"/>
  <c r="M122" i="7"/>
  <c r="L122" i="7"/>
  <c r="K122" i="7"/>
  <c r="J122" i="7"/>
  <c r="I122" i="7"/>
  <c r="H122" i="7"/>
  <c r="G121" i="7"/>
  <c r="M120" i="7"/>
  <c r="L120" i="7"/>
  <c r="K120" i="7"/>
  <c r="J120" i="7"/>
  <c r="I120" i="7"/>
  <c r="H120" i="7"/>
  <c r="G119" i="7"/>
  <c r="M118" i="7"/>
  <c r="L118" i="7"/>
  <c r="K118" i="7"/>
  <c r="J118" i="7"/>
  <c r="J117" i="7" s="1"/>
  <c r="I118" i="7"/>
  <c r="I117" i="7" s="1"/>
  <c r="H118" i="7"/>
  <c r="G114" i="7"/>
  <c r="G113" i="7"/>
  <c r="M112" i="7"/>
  <c r="L112" i="7"/>
  <c r="K112" i="7"/>
  <c r="J112" i="7"/>
  <c r="I112" i="7"/>
  <c r="H112" i="7"/>
  <c r="G111" i="7"/>
  <c r="G110" i="7"/>
  <c r="M109" i="7"/>
  <c r="L109" i="7"/>
  <c r="K109" i="7"/>
  <c r="J109" i="7"/>
  <c r="I109" i="7"/>
  <c r="H109" i="7"/>
  <c r="L104" i="7"/>
  <c r="G104" i="7" s="1"/>
  <c r="L103" i="7"/>
  <c r="M102" i="7"/>
  <c r="K102" i="7"/>
  <c r="J102" i="7"/>
  <c r="I102" i="7"/>
  <c r="H102" i="7"/>
  <c r="K101" i="7"/>
  <c r="J101" i="7"/>
  <c r="I101" i="7"/>
  <c r="H101" i="7"/>
  <c r="M100" i="7"/>
  <c r="M99" i="7" s="1"/>
  <c r="K100" i="7"/>
  <c r="K95" i="7" s="1"/>
  <c r="K85" i="7" s="1"/>
  <c r="J100" i="7"/>
  <c r="J95" i="7" s="1"/>
  <c r="J85" i="7" s="1"/>
  <c r="J29" i="7" s="1"/>
  <c r="I100" i="7"/>
  <c r="H100" i="7"/>
  <c r="G98" i="7"/>
  <c r="M97" i="7"/>
  <c r="M96" i="7" s="1"/>
  <c r="L97" i="7"/>
  <c r="K97" i="7"/>
  <c r="J97" i="7"/>
  <c r="I97" i="7"/>
  <c r="H97" i="7"/>
  <c r="H96" i="7" s="1"/>
  <c r="H86" i="7" s="1"/>
  <c r="G93" i="7"/>
  <c r="M92" i="7"/>
  <c r="L92" i="7"/>
  <c r="K92" i="7"/>
  <c r="J92" i="7"/>
  <c r="I92" i="7"/>
  <c r="H92" i="7"/>
  <c r="G91" i="7"/>
  <c r="M90" i="7"/>
  <c r="L90" i="7"/>
  <c r="K90" i="7"/>
  <c r="J90" i="7"/>
  <c r="I90" i="7"/>
  <c r="H90" i="7"/>
  <c r="G89" i="7"/>
  <c r="M88" i="7"/>
  <c r="L88" i="7"/>
  <c r="K88" i="7"/>
  <c r="J88" i="7"/>
  <c r="I88" i="7"/>
  <c r="H88" i="7"/>
  <c r="I83" i="7"/>
  <c r="G83" i="7" s="1"/>
  <c r="I82" i="7"/>
  <c r="G82" i="7" s="1"/>
  <c r="I81" i="7"/>
  <c r="G81" i="7" s="1"/>
  <c r="K80" i="7"/>
  <c r="G80" i="7" s="1"/>
  <c r="G79" i="7"/>
  <c r="M78" i="7"/>
  <c r="M77" i="7" s="1"/>
  <c r="M76" i="7" s="1"/>
  <c r="M26" i="7" s="1"/>
  <c r="L78" i="7"/>
  <c r="L77" i="7" s="1"/>
  <c r="L76" i="7" s="1"/>
  <c r="L26" i="7" s="1"/>
  <c r="K78" i="7"/>
  <c r="K77" i="7" s="1"/>
  <c r="K76" i="7" s="1"/>
  <c r="K26" i="7" s="1"/>
  <c r="J78" i="7"/>
  <c r="J77" i="7" s="1"/>
  <c r="J76" i="7" s="1"/>
  <c r="J26" i="7" s="1"/>
  <c r="H78" i="7"/>
  <c r="H77" i="7" s="1"/>
  <c r="H76" i="7" s="1"/>
  <c r="H26" i="7" s="1"/>
  <c r="K75" i="7"/>
  <c r="J75" i="7"/>
  <c r="G74" i="7"/>
  <c r="I73" i="7"/>
  <c r="G73" i="7" s="1"/>
  <c r="M72" i="7"/>
  <c r="L72" i="7"/>
  <c r="K72" i="7"/>
  <c r="J72" i="7"/>
  <c r="H72" i="7"/>
  <c r="M69" i="7"/>
  <c r="K71" i="7"/>
  <c r="J71" i="7"/>
  <c r="J69" i="7" s="1"/>
  <c r="I71" i="7"/>
  <c r="I69" i="7" s="1"/>
  <c r="G70" i="7"/>
  <c r="L69" i="7"/>
  <c r="K69" i="7"/>
  <c r="H69" i="7"/>
  <c r="G68" i="7"/>
  <c r="G67" i="7"/>
  <c r="M66" i="7"/>
  <c r="M64" i="7" s="1"/>
  <c r="K66" i="7"/>
  <c r="K64" i="7" s="1"/>
  <c r="J66" i="7"/>
  <c r="I66" i="7"/>
  <c r="I64" i="7" s="1"/>
  <c r="G65" i="7"/>
  <c r="L64" i="7"/>
  <c r="H64" i="7"/>
  <c r="L63" i="7"/>
  <c r="K63" i="7"/>
  <c r="K60" i="7" s="1"/>
  <c r="K57" i="7" s="1"/>
  <c r="K25" i="7" s="1"/>
  <c r="H63" i="7"/>
  <c r="H60" i="7" s="1"/>
  <c r="M62" i="7"/>
  <c r="M59" i="7" s="1"/>
  <c r="M56" i="7" s="1"/>
  <c r="M24" i="7" s="1"/>
  <c r="L62" i="7"/>
  <c r="K62" i="7"/>
  <c r="K59" i="7" s="1"/>
  <c r="K56" i="7" s="1"/>
  <c r="K24" i="7" s="1"/>
  <c r="J62" i="7"/>
  <c r="J59" i="7" s="1"/>
  <c r="J56" i="7" s="1"/>
  <c r="H62" i="7"/>
  <c r="H59" i="7" s="1"/>
  <c r="L59" i="7"/>
  <c r="J54" i="7"/>
  <c r="G54" i="7" s="1"/>
  <c r="K53" i="7"/>
  <c r="K44" i="7" s="1"/>
  <c r="K41" i="7" s="1"/>
  <c r="K38" i="7" s="1"/>
  <c r="K22" i="7" s="1"/>
  <c r="J53" i="7"/>
  <c r="I53" i="7"/>
  <c r="M40" i="7"/>
  <c r="M37" i="7" s="1"/>
  <c r="M21" i="7" s="1"/>
  <c r="L52" i="7"/>
  <c r="L43" i="7" s="1"/>
  <c r="K52" i="7"/>
  <c r="K43" i="7" s="1"/>
  <c r="J52" i="7"/>
  <c r="I52" i="7"/>
  <c r="H51" i="7"/>
  <c r="G51" i="7" s="1"/>
  <c r="H50" i="7"/>
  <c r="G50" i="7" s="1"/>
  <c r="J49" i="7"/>
  <c r="I49" i="7"/>
  <c r="H49" i="7"/>
  <c r="J48" i="7"/>
  <c r="J44" i="7" s="1"/>
  <c r="J41" i="7" s="1"/>
  <c r="J38" i="7" s="1"/>
  <c r="I48" i="7"/>
  <c r="H48" i="7"/>
  <c r="J46" i="7"/>
  <c r="I46" i="7"/>
  <c r="I45" i="7" s="1"/>
  <c r="H46" i="7"/>
  <c r="L44" i="7"/>
  <c r="L41" i="7" s="1"/>
  <c r="L38" i="7" s="1"/>
  <c r="L22" i="7" s="1"/>
  <c r="G19" i="7"/>
  <c r="J18" i="7"/>
  <c r="J17" i="7" s="1"/>
  <c r="J16" i="7" s="1"/>
  <c r="I18" i="7"/>
  <c r="I17" i="7" s="1"/>
  <c r="I16" i="7" s="1"/>
  <c r="H18" i="7"/>
  <c r="H17" i="7" s="1"/>
  <c r="M16" i="7"/>
  <c r="L17" i="7"/>
  <c r="L16" i="7" s="1"/>
  <c r="K17" i="7"/>
  <c r="J43" i="7" l="1"/>
  <c r="J40" i="7" s="1"/>
  <c r="J37" i="7" s="1"/>
  <c r="J36" i="7" s="1"/>
  <c r="H99" i="7"/>
  <c r="K23" i="7"/>
  <c r="H154" i="7"/>
  <c r="H155" i="7"/>
  <c r="G155" i="7" s="1"/>
  <c r="L101" i="7"/>
  <c r="L96" i="7" s="1"/>
  <c r="L86" i="7" s="1"/>
  <c r="L30" i="7" s="1"/>
  <c r="K117" i="7"/>
  <c r="K116" i="7" s="1"/>
  <c r="J150" i="7"/>
  <c r="J34" i="7" s="1"/>
  <c r="J32" i="7" s="1"/>
  <c r="K87" i="7"/>
  <c r="K27" i="7" s="1"/>
  <c r="I151" i="7"/>
  <c r="I35" i="7" s="1"/>
  <c r="H87" i="7"/>
  <c r="H27" i="7" s="1"/>
  <c r="M133" i="7"/>
  <c r="M132" i="7" s="1"/>
  <c r="H45" i="7"/>
  <c r="I44" i="7"/>
  <c r="I41" i="7" s="1"/>
  <c r="I38" i="7" s="1"/>
  <c r="I87" i="7"/>
  <c r="I27" i="7" s="1"/>
  <c r="M87" i="7"/>
  <c r="M27" i="7" s="1"/>
  <c r="K96" i="7"/>
  <c r="K86" i="7" s="1"/>
  <c r="K30" i="7" s="1"/>
  <c r="J45" i="7"/>
  <c r="M117" i="7"/>
  <c r="M116" i="7" s="1"/>
  <c r="J116" i="7"/>
  <c r="G124" i="7"/>
  <c r="M156" i="7"/>
  <c r="G49" i="7"/>
  <c r="K42" i="7"/>
  <c r="L87" i="7"/>
  <c r="L27" i="7" s="1"/>
  <c r="I116" i="7"/>
  <c r="I132" i="7"/>
  <c r="G135" i="7"/>
  <c r="G140" i="7"/>
  <c r="I32" i="7"/>
  <c r="M150" i="7"/>
  <c r="M34" i="7" s="1"/>
  <c r="M14" i="7" s="1"/>
  <c r="M10" i="7" s="1"/>
  <c r="M152" i="7"/>
  <c r="M33" i="7"/>
  <c r="M13" i="7" s="1"/>
  <c r="M9" i="7" s="1"/>
  <c r="I152" i="7"/>
  <c r="I148" i="7"/>
  <c r="G18" i="7"/>
  <c r="I43" i="7"/>
  <c r="G53" i="7"/>
  <c r="H61" i="7"/>
  <c r="J87" i="7"/>
  <c r="J27" i="7" s="1"/>
  <c r="G92" i="7"/>
  <c r="G112" i="7"/>
  <c r="G122" i="7"/>
  <c r="K133" i="7"/>
  <c r="K132" i="7" s="1"/>
  <c r="G138" i="7"/>
  <c r="H148" i="7"/>
  <c r="H149" i="7"/>
  <c r="H33" i="7" s="1"/>
  <c r="H13" i="7" s="1"/>
  <c r="I154" i="7"/>
  <c r="G159" i="7"/>
  <c r="L156" i="7"/>
  <c r="G90" i="7"/>
  <c r="G120" i="7"/>
  <c r="G136" i="7"/>
  <c r="L133" i="7"/>
  <c r="L132" i="7" s="1"/>
  <c r="L152" i="7"/>
  <c r="G158" i="7"/>
  <c r="K156" i="7"/>
  <c r="G109" i="7"/>
  <c r="L61" i="7"/>
  <c r="G126" i="7"/>
  <c r="I133" i="7"/>
  <c r="J134" i="7"/>
  <c r="G134" i="7" s="1"/>
  <c r="G142" i="7"/>
  <c r="J148" i="7"/>
  <c r="L151" i="7"/>
  <c r="L148" i="7" s="1"/>
  <c r="J153" i="7"/>
  <c r="G153" i="7" s="1"/>
  <c r="K154" i="7"/>
  <c r="K152" i="7" s="1"/>
  <c r="G160" i="7"/>
  <c r="K99" i="7"/>
  <c r="J24" i="7"/>
  <c r="K29" i="7"/>
  <c r="I96" i="7"/>
  <c r="I86" i="7" s="1"/>
  <c r="I30" i="7" s="1"/>
  <c r="M86" i="7"/>
  <c r="L42" i="7"/>
  <c r="K40" i="7"/>
  <c r="L40" i="7"/>
  <c r="L37" i="7" s="1"/>
  <c r="L36" i="7" s="1"/>
  <c r="J42" i="7"/>
  <c r="L169" i="7"/>
  <c r="J13" i="7"/>
  <c r="H16" i="7"/>
  <c r="G17" i="7"/>
  <c r="H30" i="7"/>
  <c r="I95" i="7"/>
  <c r="I99" i="7"/>
  <c r="G103" i="7"/>
  <c r="L100" i="7"/>
  <c r="L102" i="7"/>
  <c r="G102" i="7" s="1"/>
  <c r="K16" i="7"/>
  <c r="J22" i="7"/>
  <c r="H24" i="7"/>
  <c r="G52" i="7"/>
  <c r="K58" i="7"/>
  <c r="L56" i="7"/>
  <c r="L60" i="7"/>
  <c r="L57" i="7" s="1"/>
  <c r="K61" i="7"/>
  <c r="G69" i="7"/>
  <c r="G75" i="7"/>
  <c r="G88" i="7"/>
  <c r="G97" i="7"/>
  <c r="G157" i="7"/>
  <c r="G46" i="7"/>
  <c r="H43" i="7"/>
  <c r="K55" i="7"/>
  <c r="H35" i="7"/>
  <c r="G66" i="7"/>
  <c r="G64" i="7" s="1"/>
  <c r="I63" i="7"/>
  <c r="M63" i="7"/>
  <c r="J99" i="7"/>
  <c r="J96" i="7"/>
  <c r="H132" i="7"/>
  <c r="G48" i="7"/>
  <c r="H44" i="7"/>
  <c r="H56" i="7"/>
  <c r="H58" i="7"/>
  <c r="H57" i="7"/>
  <c r="J63" i="7"/>
  <c r="J64" i="7"/>
  <c r="G71" i="7"/>
  <c r="I72" i="7"/>
  <c r="G72" i="7" s="1"/>
  <c r="I62" i="7"/>
  <c r="I78" i="7"/>
  <c r="I77" i="7" s="1"/>
  <c r="I76" i="7" s="1"/>
  <c r="I26" i="7" s="1"/>
  <c r="G26" i="7" s="1"/>
  <c r="M95" i="7"/>
  <c r="M94" i="7" s="1"/>
  <c r="G118" i="7"/>
  <c r="H116" i="7"/>
  <c r="H117" i="7"/>
  <c r="L117" i="7"/>
  <c r="L116" i="7" s="1"/>
  <c r="H95" i="7"/>
  <c r="J39" i="7" l="1"/>
  <c r="J21" i="7"/>
  <c r="G45" i="7"/>
  <c r="G101" i="7"/>
  <c r="K28" i="7"/>
  <c r="M169" i="7"/>
  <c r="O9" i="7"/>
  <c r="G149" i="7"/>
  <c r="J132" i="7"/>
  <c r="G132" i="7" s="1"/>
  <c r="K31" i="7"/>
  <c r="G27" i="7"/>
  <c r="M30" i="7"/>
  <c r="O10" i="7"/>
  <c r="M170" i="7"/>
  <c r="K94" i="7"/>
  <c r="K84" i="7"/>
  <c r="J133" i="7"/>
  <c r="G133" i="7" s="1"/>
  <c r="G96" i="7"/>
  <c r="I22" i="7"/>
  <c r="G156" i="7"/>
  <c r="G87" i="7"/>
  <c r="M31" i="7"/>
  <c r="G152" i="7"/>
  <c r="I31" i="7"/>
  <c r="L35" i="7"/>
  <c r="L32" i="7" s="1"/>
  <c r="G154" i="7"/>
  <c r="G151" i="7"/>
  <c r="I40" i="7"/>
  <c r="I42" i="7"/>
  <c r="M32" i="7"/>
  <c r="L31" i="7"/>
  <c r="K150" i="7"/>
  <c r="K34" i="7" s="1"/>
  <c r="G33" i="7"/>
  <c r="M148" i="7"/>
  <c r="L21" i="7"/>
  <c r="L20" i="7" s="1"/>
  <c r="L58" i="7"/>
  <c r="L39" i="7"/>
  <c r="K39" i="7"/>
  <c r="K37" i="7"/>
  <c r="G16" i="7"/>
  <c r="G44" i="7"/>
  <c r="H41" i="7"/>
  <c r="G63" i="7"/>
  <c r="I60" i="7"/>
  <c r="J20" i="7"/>
  <c r="J14" i="7"/>
  <c r="J10" i="7" s="1"/>
  <c r="J170" i="7" s="1"/>
  <c r="G13" i="7"/>
  <c r="H9" i="7"/>
  <c r="J9" i="7"/>
  <c r="I59" i="7"/>
  <c r="I61" i="7"/>
  <c r="G62" i="7"/>
  <c r="J60" i="7"/>
  <c r="J61" i="7"/>
  <c r="H55" i="7"/>
  <c r="L55" i="7"/>
  <c r="L24" i="7"/>
  <c r="I94" i="7"/>
  <c r="I85" i="7"/>
  <c r="G76" i="7"/>
  <c r="H94" i="7"/>
  <c r="H85" i="7"/>
  <c r="G117" i="7"/>
  <c r="M85" i="7"/>
  <c r="M84" i="7" s="1"/>
  <c r="H25" i="7"/>
  <c r="H23" i="7" s="1"/>
  <c r="G78" i="7"/>
  <c r="G77" i="7"/>
  <c r="L95" i="7"/>
  <c r="G95" i="7" s="1"/>
  <c r="L99" i="7"/>
  <c r="G99" i="7" s="1"/>
  <c r="H31" i="7"/>
  <c r="G116" i="7"/>
  <c r="G100" i="7"/>
  <c r="M41" i="7"/>
  <c r="M42" i="7"/>
  <c r="H32" i="7"/>
  <c r="J86" i="7"/>
  <c r="J94" i="7"/>
  <c r="M60" i="7"/>
  <c r="M61" i="7"/>
  <c r="G43" i="7"/>
  <c r="H40" i="7"/>
  <c r="H42" i="7"/>
  <c r="N57" i="7"/>
  <c r="L25" i="7"/>
  <c r="K15" i="7" l="1"/>
  <c r="K11" i="7" s="1"/>
  <c r="K171" i="7" s="1"/>
  <c r="L15" i="7"/>
  <c r="L11" i="7" s="1"/>
  <c r="N11" i="7" s="1"/>
  <c r="K148" i="7"/>
  <c r="G148" i="7" s="1"/>
  <c r="J31" i="7"/>
  <c r="G31" i="7" s="1"/>
  <c r="G42" i="7"/>
  <c r="G61" i="7"/>
  <c r="G35" i="7"/>
  <c r="G150" i="7"/>
  <c r="I37" i="7"/>
  <c r="I36" i="7" s="1"/>
  <c r="I39" i="7"/>
  <c r="I21" i="7"/>
  <c r="I20" i="7" s="1"/>
  <c r="K36" i="7"/>
  <c r="K21" i="7"/>
  <c r="K20" i="7" s="1"/>
  <c r="P10" i="7"/>
  <c r="M58" i="7"/>
  <c r="M57" i="7"/>
  <c r="I84" i="7"/>
  <c r="I29" i="7"/>
  <c r="I28" i="7" s="1"/>
  <c r="K32" i="7"/>
  <c r="G32" i="7" s="1"/>
  <c r="G34" i="7"/>
  <c r="I57" i="7"/>
  <c r="G60" i="7"/>
  <c r="H39" i="7"/>
  <c r="G40" i="7"/>
  <c r="H37" i="7"/>
  <c r="H21" i="7"/>
  <c r="M38" i="7"/>
  <c r="M22" i="7" s="1"/>
  <c r="M39" i="7"/>
  <c r="M29" i="7"/>
  <c r="M28" i="7" s="1"/>
  <c r="H84" i="7"/>
  <c r="H29" i="7"/>
  <c r="J30" i="7"/>
  <c r="J84" i="7"/>
  <c r="G86" i="7"/>
  <c r="L94" i="7"/>
  <c r="G94" i="7" s="1"/>
  <c r="L85" i="7"/>
  <c r="L23" i="7"/>
  <c r="I58" i="7"/>
  <c r="I24" i="7"/>
  <c r="I56" i="7"/>
  <c r="G59" i="7"/>
  <c r="H169" i="7"/>
  <c r="G9" i="7"/>
  <c r="G41" i="7"/>
  <c r="H22" i="7"/>
  <c r="H38" i="7"/>
  <c r="J58" i="7"/>
  <c r="J57" i="7"/>
  <c r="J169" i="7"/>
  <c r="L171" i="7" l="1"/>
  <c r="K14" i="7"/>
  <c r="K10" i="7" s="1"/>
  <c r="G38" i="7"/>
  <c r="J25" i="7"/>
  <c r="J55" i="7"/>
  <c r="G24" i="7"/>
  <c r="I14" i="7"/>
  <c r="H28" i="7"/>
  <c r="H15" i="7" s="1"/>
  <c r="H36" i="7"/>
  <c r="G37" i="7"/>
  <c r="I25" i="7"/>
  <c r="I23" i="7" s="1"/>
  <c r="G57" i="7"/>
  <c r="M55" i="7"/>
  <c r="M25" i="7"/>
  <c r="M23" i="7" s="1"/>
  <c r="G169" i="7"/>
  <c r="G58" i="7"/>
  <c r="L84" i="7"/>
  <c r="G84" i="7" s="1"/>
  <c r="L29" i="7"/>
  <c r="J28" i="7"/>
  <c r="G30" i="7"/>
  <c r="G85" i="7"/>
  <c r="M36" i="7"/>
  <c r="G39" i="7"/>
  <c r="I55" i="7"/>
  <c r="G56" i="7"/>
  <c r="G21" i="7"/>
  <c r="H20" i="7"/>
  <c r="H14" i="7"/>
  <c r="K12" i="7" l="1"/>
  <c r="G55" i="7"/>
  <c r="M15" i="7"/>
  <c r="M11" i="7" s="1"/>
  <c r="G36" i="7"/>
  <c r="L28" i="7"/>
  <c r="G28" i="7" s="1"/>
  <c r="L14" i="7"/>
  <c r="K170" i="7"/>
  <c r="K168" i="7" s="1"/>
  <c r="K8" i="7"/>
  <c r="H11" i="7"/>
  <c r="H10" i="7"/>
  <c r="H12" i="7"/>
  <c r="M20" i="7"/>
  <c r="G20" i="7" s="1"/>
  <c r="G22" i="7"/>
  <c r="I15" i="7"/>
  <c r="I11" i="7" s="1"/>
  <c r="I171" i="7" s="1"/>
  <c r="G25" i="7"/>
  <c r="G29" i="7"/>
  <c r="I10" i="7"/>
  <c r="J15" i="7"/>
  <c r="J23" i="7"/>
  <c r="G23" i="7" s="1"/>
  <c r="M171" i="7" l="1"/>
  <c r="M168" i="7" s="1"/>
  <c r="M8" i="7"/>
  <c r="O11" i="7"/>
  <c r="O8" i="7" s="1"/>
  <c r="I12" i="7"/>
  <c r="G15" i="7"/>
  <c r="I8" i="7"/>
  <c r="I170" i="7"/>
  <c r="I168" i="7" s="1"/>
  <c r="H171" i="7"/>
  <c r="L12" i="7"/>
  <c r="L10" i="7"/>
  <c r="H170" i="7"/>
  <c r="H8" i="7"/>
  <c r="J11" i="7"/>
  <c r="J12" i="7"/>
  <c r="M12" i="7"/>
  <c r="G14" i="7"/>
  <c r="G10" i="7" l="1"/>
  <c r="N10" i="7"/>
  <c r="N8" i="7" s="1"/>
  <c r="G12" i="7"/>
  <c r="G11" i="7"/>
  <c r="H168" i="7"/>
  <c r="J171" i="7"/>
  <c r="J168" i="7" s="1"/>
  <c r="J8" i="7"/>
  <c r="L170" i="7"/>
  <c r="L168" i="7" s="1"/>
  <c r="L8" i="7"/>
  <c r="P11" i="7" l="1"/>
  <c r="G8" i="7"/>
  <c r="G168" i="7"/>
  <c r="G170" i="7"/>
  <c r="G171" i="7"/>
  <c r="P8" i="7"/>
  <c r="G137" i="3" l="1"/>
  <c r="G136" i="3"/>
  <c r="G135" i="3"/>
  <c r="M134" i="3"/>
  <c r="L134" i="3"/>
  <c r="K134" i="3"/>
  <c r="J134" i="3"/>
  <c r="I134" i="3"/>
  <c r="H134" i="3"/>
  <c r="G134" i="3" s="1"/>
  <c r="M133" i="3"/>
  <c r="L133" i="3"/>
  <c r="K133" i="3"/>
  <c r="J133" i="3"/>
  <c r="I133" i="3"/>
  <c r="H133" i="3"/>
  <c r="G133" i="3"/>
  <c r="M132" i="3"/>
  <c r="L132" i="3"/>
  <c r="K132" i="3"/>
  <c r="J132" i="3"/>
  <c r="I132" i="3"/>
  <c r="H132" i="3"/>
  <c r="G132" i="3" s="1"/>
  <c r="M131" i="3"/>
  <c r="L131" i="3"/>
  <c r="K131" i="3"/>
  <c r="J131" i="3"/>
  <c r="I131" i="3"/>
  <c r="H131" i="3"/>
  <c r="G131" i="3"/>
  <c r="M130" i="3"/>
  <c r="L130" i="3"/>
  <c r="K130" i="3"/>
  <c r="J130" i="3"/>
  <c r="I130" i="3"/>
  <c r="H130" i="3"/>
  <c r="G130" i="3" s="1"/>
  <c r="M129" i="3"/>
  <c r="L129" i="3"/>
  <c r="K129" i="3"/>
  <c r="J129" i="3"/>
  <c r="I129" i="3"/>
  <c r="H129" i="3"/>
  <c r="G129" i="3"/>
  <c r="M128" i="3"/>
  <c r="L128" i="3"/>
  <c r="K128" i="3"/>
  <c r="J128" i="3"/>
  <c r="I128" i="3"/>
  <c r="H128" i="3"/>
  <c r="G128" i="3" s="1"/>
  <c r="M127" i="3"/>
  <c r="L127" i="3"/>
  <c r="K127" i="3"/>
  <c r="J127" i="3"/>
  <c r="I127" i="3"/>
  <c r="H127" i="3"/>
  <c r="G127" i="3"/>
  <c r="M126" i="3"/>
  <c r="L126" i="3"/>
  <c r="K126" i="3"/>
  <c r="J126" i="3"/>
  <c r="I126" i="3"/>
  <c r="H126" i="3"/>
  <c r="G126" i="3" s="1"/>
  <c r="M125" i="3"/>
  <c r="L125" i="3"/>
  <c r="K125" i="3"/>
  <c r="J125" i="3"/>
  <c r="I125" i="3"/>
  <c r="H125" i="3"/>
  <c r="G125" i="3"/>
  <c r="M124" i="3"/>
  <c r="L124" i="3"/>
  <c r="K124" i="3"/>
  <c r="J124" i="3"/>
  <c r="I124" i="3"/>
  <c r="H124" i="3"/>
  <c r="G124" i="3" s="1"/>
  <c r="M123" i="3"/>
  <c r="M31" i="3" s="1"/>
  <c r="M13" i="3" s="1"/>
  <c r="M9" i="3" s="1"/>
  <c r="M139" i="3" s="1"/>
  <c r="L123" i="3"/>
  <c r="K123" i="3"/>
  <c r="K31" i="3" s="1"/>
  <c r="K13" i="3" s="1"/>
  <c r="K9" i="3" s="1"/>
  <c r="K139" i="3" s="1"/>
  <c r="J123" i="3"/>
  <c r="I123" i="3"/>
  <c r="I31" i="3" s="1"/>
  <c r="I13" i="3" s="1"/>
  <c r="I9" i="3" s="1"/>
  <c r="I139" i="3" s="1"/>
  <c r="H123" i="3"/>
  <c r="G123" i="3"/>
  <c r="M122" i="3"/>
  <c r="L122" i="3"/>
  <c r="K122" i="3"/>
  <c r="J122" i="3"/>
  <c r="I122" i="3"/>
  <c r="H122" i="3"/>
  <c r="G122" i="3" s="1"/>
  <c r="G121" i="3"/>
  <c r="G120" i="3"/>
  <c r="G119" i="3"/>
  <c r="G118" i="3"/>
  <c r="G117" i="3"/>
  <c r="M116" i="3"/>
  <c r="L116" i="3"/>
  <c r="K116" i="3"/>
  <c r="J116" i="3"/>
  <c r="H116" i="3"/>
  <c r="G116" i="3"/>
  <c r="G115" i="3"/>
  <c r="J114" i="3"/>
  <c r="I114" i="3"/>
  <c r="H114" i="3"/>
  <c r="G114" i="3" s="1"/>
  <c r="G113" i="3"/>
  <c r="J112" i="3"/>
  <c r="I112" i="3"/>
  <c r="I106" i="3" s="1"/>
  <c r="H112" i="3"/>
  <c r="G112" i="3"/>
  <c r="G111" i="3"/>
  <c r="J110" i="3"/>
  <c r="J106" i="3" s="1"/>
  <c r="J29" i="3" s="1"/>
  <c r="I110" i="3"/>
  <c r="H110" i="3"/>
  <c r="G110" i="3" s="1"/>
  <c r="M109" i="3"/>
  <c r="M108" i="3" s="1"/>
  <c r="M106" i="3" s="1"/>
  <c r="L109" i="3"/>
  <c r="K109" i="3"/>
  <c r="K108" i="3" s="1"/>
  <c r="K106" i="3" s="1"/>
  <c r="J109" i="3"/>
  <c r="G109" i="3"/>
  <c r="L108" i="3"/>
  <c r="L107" i="3" s="1"/>
  <c r="J108" i="3"/>
  <c r="J107" i="3" s="1"/>
  <c r="I108" i="3"/>
  <c r="H108" i="3"/>
  <c r="M107" i="3"/>
  <c r="K107" i="3"/>
  <c r="I107" i="3"/>
  <c r="L106" i="3"/>
  <c r="H106" i="3"/>
  <c r="G105" i="3"/>
  <c r="G104" i="3"/>
  <c r="G103" i="3"/>
  <c r="G102" i="3"/>
  <c r="G101" i="3"/>
  <c r="M100" i="3"/>
  <c r="L100" i="3"/>
  <c r="L90" i="3" s="1"/>
  <c r="K100" i="3"/>
  <c r="J100" i="3"/>
  <c r="I100" i="3"/>
  <c r="H100" i="3"/>
  <c r="G100" i="3" s="1"/>
  <c r="G99" i="3"/>
  <c r="J98" i="3"/>
  <c r="I98" i="3"/>
  <c r="I90" i="3" s="1"/>
  <c r="I29" i="3" s="1"/>
  <c r="H98" i="3"/>
  <c r="G98" i="3"/>
  <c r="G97" i="3"/>
  <c r="J96" i="3"/>
  <c r="J90" i="3" s="1"/>
  <c r="I96" i="3"/>
  <c r="H96" i="3"/>
  <c r="G95" i="3"/>
  <c r="J94" i="3"/>
  <c r="I94" i="3"/>
  <c r="H94" i="3"/>
  <c r="G94" i="3"/>
  <c r="G93" i="3"/>
  <c r="M92" i="3"/>
  <c r="M91" i="3" s="1"/>
  <c r="L92" i="3"/>
  <c r="K92" i="3"/>
  <c r="K91" i="3" s="1"/>
  <c r="J92" i="3"/>
  <c r="I92" i="3"/>
  <c r="I91" i="3" s="1"/>
  <c r="H92" i="3"/>
  <c r="G92" i="3"/>
  <c r="L91" i="3"/>
  <c r="J91" i="3"/>
  <c r="H91" i="3"/>
  <c r="G91" i="3" s="1"/>
  <c r="M90" i="3"/>
  <c r="K90" i="3"/>
  <c r="K29" i="3" s="1"/>
  <c r="M89" i="3"/>
  <c r="G89" i="3"/>
  <c r="M88" i="3"/>
  <c r="L88" i="3"/>
  <c r="L87" i="3" s="1"/>
  <c r="L79" i="3" s="1"/>
  <c r="K88" i="3"/>
  <c r="J88" i="3"/>
  <c r="J87" i="3" s="1"/>
  <c r="J28" i="3" s="1"/>
  <c r="I88" i="3"/>
  <c r="H88" i="3"/>
  <c r="M87" i="3"/>
  <c r="K87" i="3"/>
  <c r="I87" i="3"/>
  <c r="G86" i="3"/>
  <c r="J85" i="3"/>
  <c r="I85" i="3"/>
  <c r="H85" i="3"/>
  <c r="G85" i="3" s="1"/>
  <c r="G84" i="3"/>
  <c r="J83" i="3"/>
  <c r="I83" i="3"/>
  <c r="H83" i="3"/>
  <c r="G83" i="3"/>
  <c r="G82" i="3"/>
  <c r="J81" i="3"/>
  <c r="I81" i="3"/>
  <c r="H81" i="3"/>
  <c r="M80" i="3"/>
  <c r="M79" i="3" s="1"/>
  <c r="L80" i="3"/>
  <c r="K80" i="3"/>
  <c r="K79" i="3" s="1"/>
  <c r="I80" i="3"/>
  <c r="I79" i="3" s="1"/>
  <c r="I78" i="3"/>
  <c r="G78" i="3" s="1"/>
  <c r="I77" i="3"/>
  <c r="G77" i="3" s="1"/>
  <c r="I76" i="3"/>
  <c r="K75" i="3"/>
  <c r="G74" i="3"/>
  <c r="M73" i="3"/>
  <c r="L73" i="3"/>
  <c r="L72" i="3" s="1"/>
  <c r="L71" i="3" s="1"/>
  <c r="L26" i="3" s="1"/>
  <c r="J73" i="3"/>
  <c r="J72" i="3" s="1"/>
  <c r="H73" i="3"/>
  <c r="M72" i="3"/>
  <c r="M71" i="3" s="1"/>
  <c r="J71" i="3"/>
  <c r="J26" i="3" s="1"/>
  <c r="M70" i="3"/>
  <c r="M60" i="3" s="1"/>
  <c r="L70" i="3"/>
  <c r="K70" i="3"/>
  <c r="K60" i="3" s="1"/>
  <c r="K57" i="3" s="1"/>
  <c r="K54" i="3" s="1"/>
  <c r="K25" i="3" s="1"/>
  <c r="J70" i="3"/>
  <c r="G70" i="3"/>
  <c r="G69" i="3"/>
  <c r="I68" i="3"/>
  <c r="G68" i="3" s="1"/>
  <c r="M67" i="3"/>
  <c r="L67" i="3"/>
  <c r="K67" i="3"/>
  <c r="J67" i="3"/>
  <c r="H67" i="3"/>
  <c r="M66" i="3"/>
  <c r="L66" i="3"/>
  <c r="L64" i="3" s="1"/>
  <c r="K66" i="3"/>
  <c r="J66" i="3"/>
  <c r="J64" i="3" s="1"/>
  <c r="I66" i="3"/>
  <c r="G66" i="3"/>
  <c r="G65" i="3"/>
  <c r="M64" i="3"/>
  <c r="K64" i="3"/>
  <c r="G64" i="3" s="1"/>
  <c r="I64" i="3"/>
  <c r="H64" i="3"/>
  <c r="G63" i="3"/>
  <c r="G62" i="3"/>
  <c r="M61" i="3"/>
  <c r="L61" i="3"/>
  <c r="K61" i="3"/>
  <c r="J61" i="3"/>
  <c r="I61" i="3"/>
  <c r="G61" i="3"/>
  <c r="L60" i="3"/>
  <c r="L57" i="3" s="1"/>
  <c r="L54" i="3" s="1"/>
  <c r="J60" i="3"/>
  <c r="J57" i="3" s="1"/>
  <c r="I60" i="3"/>
  <c r="H60" i="3"/>
  <c r="M59" i="3"/>
  <c r="L59" i="3"/>
  <c r="K59" i="3"/>
  <c r="J59" i="3"/>
  <c r="I59" i="3"/>
  <c r="H59" i="3"/>
  <c r="G59" i="3"/>
  <c r="J58" i="3"/>
  <c r="H58" i="3"/>
  <c r="M57" i="3"/>
  <c r="I57" i="3"/>
  <c r="L56" i="3"/>
  <c r="L24" i="3" s="1"/>
  <c r="L23" i="3" s="1"/>
  <c r="J56" i="3"/>
  <c r="H56" i="3"/>
  <c r="L55" i="3"/>
  <c r="J55" i="3"/>
  <c r="M54" i="3"/>
  <c r="M25" i="3" s="1"/>
  <c r="J54" i="3"/>
  <c r="I54" i="3"/>
  <c r="I25" i="3" s="1"/>
  <c r="L53" i="3"/>
  <c r="L52" i="3" s="1"/>
  <c r="J53" i="3"/>
  <c r="J52" i="3" s="1"/>
  <c r="H53" i="3"/>
  <c r="J51" i="3"/>
  <c r="G51" i="3"/>
  <c r="M50" i="3"/>
  <c r="L50" i="3"/>
  <c r="K50" i="3"/>
  <c r="J50" i="3"/>
  <c r="I50" i="3"/>
  <c r="G50" i="3"/>
  <c r="M49" i="3"/>
  <c r="L49" i="3"/>
  <c r="K49" i="3"/>
  <c r="J49" i="3"/>
  <c r="I49" i="3"/>
  <c r="G49" i="3"/>
  <c r="H48" i="3"/>
  <c r="G48" i="3"/>
  <c r="H47" i="3"/>
  <c r="G47" i="3"/>
  <c r="M46" i="3"/>
  <c r="L46" i="3"/>
  <c r="L42" i="3" s="1"/>
  <c r="K46" i="3"/>
  <c r="J46" i="3"/>
  <c r="J42" i="3" s="1"/>
  <c r="J39" i="3" s="1"/>
  <c r="I46" i="3"/>
  <c r="H46" i="3"/>
  <c r="M45" i="3"/>
  <c r="M43" i="3" s="1"/>
  <c r="L45" i="3"/>
  <c r="K45" i="3"/>
  <c r="K43" i="3" s="1"/>
  <c r="J45" i="3"/>
  <c r="I45" i="3"/>
  <c r="H45" i="3"/>
  <c r="G45" i="3"/>
  <c r="J44" i="3"/>
  <c r="I44" i="3"/>
  <c r="H44" i="3"/>
  <c r="G44" i="3"/>
  <c r="L43" i="3"/>
  <c r="J43" i="3"/>
  <c r="H43" i="3"/>
  <c r="M42" i="3"/>
  <c r="M39" i="3" s="1"/>
  <c r="K42" i="3"/>
  <c r="K39" i="3" s="1"/>
  <c r="K36" i="3" s="1"/>
  <c r="I42" i="3"/>
  <c r="I39" i="3" s="1"/>
  <c r="M41" i="3"/>
  <c r="L41" i="3"/>
  <c r="K41" i="3"/>
  <c r="J41" i="3"/>
  <c r="H41" i="3"/>
  <c r="M40" i="3"/>
  <c r="L39" i="3"/>
  <c r="M38" i="3"/>
  <c r="K38" i="3"/>
  <c r="M36" i="3"/>
  <c r="I36" i="3"/>
  <c r="M33" i="3"/>
  <c r="L33" i="3"/>
  <c r="K33" i="3"/>
  <c r="J33" i="3"/>
  <c r="I33" i="3"/>
  <c r="H33" i="3"/>
  <c r="G33" i="3" s="1"/>
  <c r="M32" i="3"/>
  <c r="L32" i="3"/>
  <c r="K32" i="3"/>
  <c r="J32" i="3"/>
  <c r="I32" i="3"/>
  <c r="H32" i="3"/>
  <c r="G32" i="3"/>
  <c r="L31" i="3"/>
  <c r="L30" i="3" s="1"/>
  <c r="J31" i="3"/>
  <c r="H31" i="3"/>
  <c r="K30" i="3"/>
  <c r="M29" i="3"/>
  <c r="L29" i="3"/>
  <c r="M28" i="3"/>
  <c r="K28" i="3"/>
  <c r="I28" i="3"/>
  <c r="L27" i="3"/>
  <c r="I27" i="3"/>
  <c r="M26" i="3"/>
  <c r="L25" i="3"/>
  <c r="J25" i="3"/>
  <c r="J24" i="3"/>
  <c r="J23" i="3"/>
  <c r="M22" i="3"/>
  <c r="I22" i="3"/>
  <c r="G19" i="3"/>
  <c r="M18" i="3"/>
  <c r="M17" i="3" s="1"/>
  <c r="M15" i="3" s="1"/>
  <c r="M11" i="3" s="1"/>
  <c r="M141" i="3" s="1"/>
  <c r="L18" i="3"/>
  <c r="K18" i="3"/>
  <c r="K17" i="3" s="1"/>
  <c r="J18" i="3"/>
  <c r="I18" i="3"/>
  <c r="I17" i="3" s="1"/>
  <c r="H18" i="3"/>
  <c r="G18" i="3"/>
  <c r="L17" i="3"/>
  <c r="L16" i="3" s="1"/>
  <c r="J17" i="3"/>
  <c r="J16" i="3" s="1"/>
  <c r="H17" i="3"/>
  <c r="M16" i="3"/>
  <c r="I16" i="3"/>
  <c r="J13" i="3"/>
  <c r="J9" i="3"/>
  <c r="J36" i="3" l="1"/>
  <c r="J22" i="3"/>
  <c r="J139" i="3"/>
  <c r="K15" i="3"/>
  <c r="K11" i="3" s="1"/>
  <c r="K141" i="3" s="1"/>
  <c r="G31" i="3"/>
  <c r="H30" i="3"/>
  <c r="K37" i="3"/>
  <c r="K35" i="3"/>
  <c r="K34" i="3" s="1"/>
  <c r="K21" i="3"/>
  <c r="L36" i="3"/>
  <c r="L22" i="3"/>
  <c r="J40" i="3"/>
  <c r="J38" i="3"/>
  <c r="L40" i="3"/>
  <c r="L38" i="3"/>
  <c r="G46" i="3"/>
  <c r="H42" i="3"/>
  <c r="H13" i="3"/>
  <c r="L13" i="3"/>
  <c r="J15" i="3"/>
  <c r="J11" i="3" s="1"/>
  <c r="J141" i="3" s="1"/>
  <c r="K16" i="3"/>
  <c r="G17" i="3"/>
  <c r="H16" i="3"/>
  <c r="G16" i="3" s="1"/>
  <c r="K22" i="3"/>
  <c r="I30" i="3"/>
  <c r="M30" i="3"/>
  <c r="J30" i="3"/>
  <c r="M37" i="3"/>
  <c r="M35" i="3"/>
  <c r="M34" i="3" s="1"/>
  <c r="M21" i="3"/>
  <c r="K40" i="3"/>
  <c r="H40" i="3"/>
  <c r="H38" i="3"/>
  <c r="I43" i="3"/>
  <c r="G43" i="3" s="1"/>
  <c r="I41" i="3"/>
  <c r="I58" i="3"/>
  <c r="I56" i="3"/>
  <c r="K58" i="3"/>
  <c r="K56" i="3"/>
  <c r="M58" i="3"/>
  <c r="M56" i="3"/>
  <c r="H72" i="3"/>
  <c r="G76" i="3"/>
  <c r="I73" i="3"/>
  <c r="I72" i="3" s="1"/>
  <c r="I71" i="3" s="1"/>
  <c r="I26" i="3" s="1"/>
  <c r="I15" i="3" s="1"/>
  <c r="I11" i="3" s="1"/>
  <c r="I141" i="3" s="1"/>
  <c r="G88" i="3"/>
  <c r="H87" i="3"/>
  <c r="G96" i="3"/>
  <c r="H90" i="3"/>
  <c r="G106" i="3"/>
  <c r="H24" i="3"/>
  <c r="K27" i="3"/>
  <c r="M27" i="3"/>
  <c r="L28" i="3"/>
  <c r="L58" i="3"/>
  <c r="G58" i="3" s="1"/>
  <c r="G60" i="3"/>
  <c r="H57" i="3"/>
  <c r="I67" i="3"/>
  <c r="G67" i="3" s="1"/>
  <c r="G75" i="3"/>
  <c r="K73" i="3"/>
  <c r="K72" i="3" s="1"/>
  <c r="K71" i="3" s="1"/>
  <c r="K26" i="3" s="1"/>
  <c r="G81" i="3"/>
  <c r="H80" i="3"/>
  <c r="J80" i="3"/>
  <c r="G108" i="3"/>
  <c r="H107" i="3"/>
  <c r="G107" i="3" s="1"/>
  <c r="J79" i="3" l="1"/>
  <c r="J27" i="3"/>
  <c r="G57" i="3"/>
  <c r="H54" i="3"/>
  <c r="H55" i="3"/>
  <c r="G90" i="3"/>
  <c r="H29" i="3"/>
  <c r="G29" i="3" s="1"/>
  <c r="H28" i="3"/>
  <c r="G28" i="3" s="1"/>
  <c r="G87" i="3"/>
  <c r="H71" i="3"/>
  <c r="G72" i="3"/>
  <c r="M55" i="3"/>
  <c r="M53" i="3"/>
  <c r="M52" i="3" s="1"/>
  <c r="M24" i="3"/>
  <c r="M23" i="3" s="1"/>
  <c r="K55" i="3"/>
  <c r="K53" i="3"/>
  <c r="K52" i="3" s="1"/>
  <c r="K24" i="3"/>
  <c r="K23" i="3" s="1"/>
  <c r="I55" i="3"/>
  <c r="I53" i="3"/>
  <c r="I24" i="3"/>
  <c r="I23" i="3" s="1"/>
  <c r="G56" i="3"/>
  <c r="L9" i="3"/>
  <c r="G42" i="3"/>
  <c r="H39" i="3"/>
  <c r="G30" i="3"/>
  <c r="H79" i="3"/>
  <c r="G79" i="3" s="1"/>
  <c r="G80" i="3"/>
  <c r="H27" i="3"/>
  <c r="G27" i="3" s="1"/>
  <c r="G73" i="3"/>
  <c r="I38" i="3"/>
  <c r="I40" i="3"/>
  <c r="G40" i="3" s="1"/>
  <c r="H37" i="3"/>
  <c r="H35" i="3"/>
  <c r="H21" i="3"/>
  <c r="G41" i="3"/>
  <c r="M20" i="3"/>
  <c r="M14" i="3"/>
  <c r="G13" i="3"/>
  <c r="H9" i="3"/>
  <c r="L37" i="3"/>
  <c r="L35" i="3"/>
  <c r="L34" i="3" s="1"/>
  <c r="L21" i="3"/>
  <c r="J35" i="3"/>
  <c r="J34" i="3" s="1"/>
  <c r="J21" i="3"/>
  <c r="J37" i="3"/>
  <c r="L15" i="3"/>
  <c r="L11" i="3" s="1"/>
  <c r="L141" i="3" s="1"/>
  <c r="K20" i="3"/>
  <c r="K14" i="3"/>
  <c r="K10" i="3" l="1"/>
  <c r="K12" i="3"/>
  <c r="J20" i="3"/>
  <c r="J14" i="3"/>
  <c r="L20" i="3"/>
  <c r="L14" i="3"/>
  <c r="M10" i="3"/>
  <c r="M12" i="3"/>
  <c r="G37" i="3"/>
  <c r="I37" i="3"/>
  <c r="I35" i="3"/>
  <c r="I34" i="3" s="1"/>
  <c r="I21" i="3"/>
  <c r="I52" i="3"/>
  <c r="G53" i="3"/>
  <c r="G24" i="3"/>
  <c r="G55" i="3"/>
  <c r="H139" i="3"/>
  <c r="G9" i="3"/>
  <c r="G21" i="3"/>
  <c r="H20" i="3"/>
  <c r="H14" i="3"/>
  <c r="G38" i="3"/>
  <c r="G39" i="3"/>
  <c r="H36" i="3"/>
  <c r="G36" i="3" s="1"/>
  <c r="H22" i="3"/>
  <c r="L139" i="3"/>
  <c r="G71" i="3"/>
  <c r="H26" i="3"/>
  <c r="G26" i="3" s="1"/>
  <c r="G54" i="3"/>
  <c r="H25" i="3"/>
  <c r="H52" i="3"/>
  <c r="G52" i="3" s="1"/>
  <c r="G139" i="3" l="1"/>
  <c r="G35" i="3"/>
  <c r="M140" i="3"/>
  <c r="M138" i="3" s="1"/>
  <c r="M8" i="3"/>
  <c r="K140" i="3"/>
  <c r="K138" i="3" s="1"/>
  <c r="K8" i="3"/>
  <c r="G25" i="3"/>
  <c r="H23" i="3"/>
  <c r="G23" i="3" s="1"/>
  <c r="G22" i="3"/>
  <c r="H15" i="3"/>
  <c r="H10" i="3"/>
  <c r="G14" i="3"/>
  <c r="I20" i="3"/>
  <c r="G20" i="3" s="1"/>
  <c r="I14" i="3"/>
  <c r="H34" i="3"/>
  <c r="G34" i="3" s="1"/>
  <c r="L10" i="3"/>
  <c r="L12" i="3"/>
  <c r="J10" i="3"/>
  <c r="J12" i="3"/>
  <c r="G15" i="3" l="1"/>
  <c r="H11" i="3"/>
  <c r="J140" i="3"/>
  <c r="J138" i="3" s="1"/>
  <c r="J8" i="3"/>
  <c r="L140" i="3"/>
  <c r="L138" i="3" s="1"/>
  <c r="L8" i="3"/>
  <c r="I10" i="3"/>
  <c r="I12" i="3"/>
  <c r="H12" i="3"/>
  <c r="G12" i="3" s="1"/>
  <c r="H140" i="3"/>
  <c r="G10" i="3"/>
  <c r="H8" i="3"/>
  <c r="I140" i="3" l="1"/>
  <c r="I138" i="3" s="1"/>
  <c r="I8" i="3"/>
  <c r="G8" i="3"/>
  <c r="H138" i="3"/>
  <c r="G138" i="3" s="1"/>
  <c r="H141" i="3"/>
  <c r="G141" i="3" s="1"/>
  <c r="G11" i="3"/>
  <c r="G140" i="3" l="1"/>
</calcChain>
</file>

<file path=xl/comments1.xml><?xml version="1.0" encoding="utf-8"?>
<comments xmlns="http://schemas.openxmlformats.org/spreadsheetml/2006/main">
  <authors>
    <author>Автор</author>
  </authors>
  <commentLis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-1 500 000 на п.1 М.1.1.1+600 000 и М.1.1.2 +900 000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-750 000 - секвестирование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16544100р-ув787-790 от 17.07.18
+15287300-ув.839 (ув.МРОТ)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+53953891,79(ув.Минобра №417,418,419 от 09.08.19)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+56370500,0-кл.рук(ув.Минобра №181 от 07.09.20)</t>
        </r>
      </text>
    </comment>
    <comment ref="L4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1)+7000000(с ИЛ)
2)+24960540(индексация на 4,3%)
3) - 50.973.394 - секвестирование
4)-192000 на м1.1.3оптимизацию</t>
        </r>
      </text>
    </comment>
    <comment ref="M4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-32451617,3 перенесли на питание п.4
-10мл.руб сняли на ИЦ (п.м1.1.2 -1мл.р; 
</t>
        </r>
      </text>
    </comment>
    <comment ref="N4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утв.думой 53 первоначально</t>
        </r>
      </text>
    </comment>
    <comment ref="J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+582832,2 передвигаем с п.5 м.1.1.1(лет.оздоровление)
+3000000 c ИЛ
+1500000 с приравненных з/п
</t>
        </r>
      </text>
    </comment>
    <comment ref="L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1)+10 024 504,5 - оздоровление
2)-71900,33 перенесли на м.1.1.3 оптимизацию</t>
        </r>
      </text>
    </comment>
    <comment ref="K5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-1186029 перенесли на п.2 м.1.1.2</t>
        </r>
      </text>
    </comment>
    <comment ref="L5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 секвестирование</t>
        </r>
      </text>
    </comment>
    <comment ref="M5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сняли -1186029,0р и посадили на медкабинеты п4 м1.1.2</t>
        </r>
      </text>
    </comment>
    <comment ref="L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УКС снял 16 575 458,6</t>
        </r>
      </text>
    </comment>
    <comment ref="J6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+2000000 с ИЛ</t>
        </r>
      </text>
    </comment>
    <comment ref="K6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1)передвижка с МП"ФИЗРА" М.1.1.2 +6 255 072,57</t>
        </r>
      </text>
    </comment>
    <comment ref="J7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+5000000 с ИЛ</t>
        </r>
      </text>
    </comment>
    <comment ref="M7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сняли -313971,0 и посадили на мед.кабинеты п4м 1.1.2 </t>
        </r>
      </text>
    </comment>
    <comment ref="J7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без ЦРМИ</t>
        </r>
      </text>
    </comment>
    <comment ref="L7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- 300 000 - црми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 -582832,2 передвигаем на п.1 м.1.1.2</t>
        </r>
      </text>
    </comment>
    <comment ref="K1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1)-611578,83(на п.1М.1.1.2)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-1 500 000 на п.1 М.1.1.1+600 000 и М.1.1.2 +900 000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-750 000 - секвестирование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16544100р-ув787-790 от 17.07.18
+15287300-ув.839 (ув.МРОТ)</t>
        </r>
      </text>
    </comment>
    <comment ref="K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+53953891,79(ув.Минобра №417,418,419 от 09.08.19)</t>
        </r>
      </text>
    </comment>
    <comment ref="L4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+56370500,0-кл.рук(ув.Минобра №181 от 07.09.20)</t>
        </r>
      </text>
    </comment>
    <comment ref="L4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1)+7000000(с ИЛ)
2)+24960540(индексация на 4,3%)
3) - 50.973.394 - секвестирование
4)-192000 на м1.1.3оптимизацию</t>
        </r>
      </text>
    </comment>
    <comment ref="M4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-32451617,3 перенесли на питание п.4
-10мл.руб сняли на ИЦ (п.м1.1.2 -1мл.р; 
</t>
        </r>
      </text>
    </comment>
    <comment ref="N4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утв.думой 53 первоначально</t>
        </r>
      </text>
    </comment>
    <comment ref="J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+582832,2 передвигаем с п.5 м.1.1.1(лет.оздоровление)
+3000000 c ИЛ
+1500000 с приравненных з/п
</t>
        </r>
      </text>
    </comment>
    <comment ref="L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1)+10 024 504,5 - оздоровление
2)-71900,33 перенесли на м.1.1.3 оптимизацию</t>
        </r>
      </text>
    </comment>
    <comment ref="K5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-1186029 перенесли на п.2 м.1.1.2</t>
        </r>
      </text>
    </comment>
    <comment ref="L5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 секвестирование</t>
        </r>
      </text>
    </comment>
    <comment ref="M5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сняли -1186029,0р и посадили на медкабинеты п4 м1.1.2</t>
        </r>
      </text>
    </comment>
    <comment ref="L6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УКС снял 16 575 458,6</t>
        </r>
      </text>
    </comment>
    <comment ref="J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+2000000 с ИЛ</t>
        </r>
      </text>
    </comment>
    <comment ref="K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1)передвижка с МП"ФИЗРА" М.1.1.2 +6 255 072,57</t>
        </r>
      </text>
    </comment>
    <comment ref="J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+5000000 с ИЛ</t>
        </r>
      </text>
    </comment>
    <comment ref="M7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сняли -313971,0 и посадили на мед.кабинеты п4м 1.1.2 </t>
        </r>
      </text>
    </comment>
    <comment ref="J7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без ЦРМИ</t>
        </r>
      </text>
    </comment>
    <comment ref="L7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- 300 000 - црми</t>
        </r>
      </text>
    </comment>
    <comment ref="J1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 -582832,2 передвигаем на п.1 м.1.1.2</t>
        </r>
      </text>
    </comment>
    <comment ref="K1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1)-611578,83(на п.1М.1.1.2)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J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16544100р-ув787-790 от 17.07.18
+15287300-ув.839 (ув.МРОТ)</t>
        </r>
      </text>
    </comment>
    <comment ref="J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+582832,2 передвигаем с п.5 м.1.1.1(лет.оздоровление)
+3000000 c ИЛ
+1500000 с приравненных з/п
</t>
        </r>
      </text>
    </comment>
    <comment ref="K4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</t>
        </r>
        <r>
          <rPr>
            <sz val="8"/>
            <color indexed="81"/>
            <rFont val="Tahoma"/>
            <family val="2"/>
            <charset val="204"/>
          </rPr>
          <t>ведомления на общ.сумму 132980108,04 р. переделают на упр.имущества</t>
        </r>
      </text>
    </comment>
    <comment ref="J6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+2000000 с ИЛ</t>
        </r>
      </text>
    </comment>
    <comment ref="J6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+5000000 с ИЛ</t>
        </r>
      </text>
    </comment>
    <comment ref="J7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без ЦРМИ</t>
        </r>
      </text>
    </comment>
    <comment ref="J10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 -582832,2 передвигаем на п.1 м.1.1.2</t>
        </r>
      </text>
    </comment>
  </commentList>
</comments>
</file>

<file path=xl/sharedStrings.xml><?xml version="1.0" encoding="utf-8"?>
<sst xmlns="http://schemas.openxmlformats.org/spreadsheetml/2006/main" count="1653" uniqueCount="184">
  <si>
    <t>№ п/п</t>
  </si>
  <si>
    <t>Всего</t>
  </si>
  <si>
    <t>Ответственные исполнители, соисполнители, участники</t>
  </si>
  <si>
    <t>2016 год</t>
  </si>
  <si>
    <t>2017 год</t>
  </si>
  <si>
    <t>2018 год</t>
  </si>
  <si>
    <t>Муниципальная программа "Развитие системы образования МО "Город Астрахань"</t>
  </si>
  <si>
    <t>Управление по образованию и науке администрации МО "Город Астрахань"</t>
  </si>
  <si>
    <t>Подпрограмма 4. "Психофизическая безопасность детей и подростков"</t>
  </si>
  <si>
    <t>Распределение расходов на реализацию муниципальной программы МО "Город Астрахань"  "Развитие системы образования МО "Город Астрахань"</t>
  </si>
  <si>
    <t>Источники финансирования</t>
  </si>
  <si>
    <t>всего</t>
  </si>
  <si>
    <t>Итого</t>
  </si>
  <si>
    <t>Бюджет АО</t>
  </si>
  <si>
    <t>Подпрограмма 1. "Повышение доступности и качества дошкольного, общего, дополнительного образования"</t>
  </si>
  <si>
    <t>Подпрограмма 2.  "Приведение зданий и прилегающих территорий учреждений образования и спорта администрации муниципального образования «Город Астрахань» в соответствие с требованиями строительных норм и правил, пожарной, антитеррористической и санитарно-эпидемиологической безопасности"</t>
  </si>
  <si>
    <t>Подпрограмма 3.  "Строительство, реконструкция и капитальный ремонт объектов образования города Астрахани"</t>
  </si>
  <si>
    <t>х</t>
  </si>
  <si>
    <r>
      <rPr>
        <b/>
        <sz val="8"/>
        <rFont val="Times New Roman"/>
        <family val="1"/>
        <charset val="204"/>
      </rPr>
      <t>Мероприятие 1.1.1</t>
    </r>
    <r>
      <rPr>
        <sz val="8"/>
        <rFont val="Times New Roman"/>
        <family val="1"/>
        <charset val="204"/>
      </rPr>
      <t xml:space="preserve">. Проведение текущего ремонта  и благоустройство прилегающих территорий учреждений образования и спорта администрации муниципального образования «Город Астрахань»  </t>
    </r>
  </si>
  <si>
    <r>
      <rPr>
        <b/>
        <sz val="8"/>
        <rFont val="Times New Roman"/>
        <family val="1"/>
        <charset val="204"/>
      </rPr>
      <t xml:space="preserve">Мероприятие 1.1.2. </t>
    </r>
    <r>
      <rPr>
        <sz val="8"/>
        <rFont val="Times New Roman"/>
        <family val="1"/>
        <charset val="204"/>
      </rPr>
      <t xml:space="preserve">Обеспечение пожарной и  санитарно-эпидемиологической безопасности в  учреждениях образования и спорта администрации муниципального образования «Город Астрахань»  </t>
    </r>
  </si>
  <si>
    <r>
      <rPr>
        <b/>
        <sz val="8"/>
        <rFont val="Times New Roman"/>
        <family val="1"/>
        <charset val="204"/>
      </rPr>
      <t>Цель 1.</t>
    </r>
    <r>
      <rPr>
        <sz val="8"/>
        <rFont val="Times New Roman"/>
        <family val="1"/>
        <charset val="204"/>
      </rPr>
      <t xml:space="preserve">  Профилактика правонарушений  среди обучающихся  в муниципальном образовании «Город Астрахань»</t>
    </r>
  </si>
  <si>
    <r>
      <rPr>
        <b/>
        <sz val="8"/>
        <color indexed="8"/>
        <rFont val="Times New Roman"/>
        <family val="1"/>
        <charset val="204"/>
      </rPr>
      <t>Задача 1.1</t>
    </r>
    <r>
      <rPr>
        <sz val="8"/>
        <color indexed="8"/>
        <rFont val="Times New Roman"/>
        <family val="1"/>
        <charset val="204"/>
      </rPr>
      <t>. Предупреждение безнадзорности, беспризорности, правонарушений и антиобщественных действий обучающихся, выявление и устранение причин и условий, способствующих этому</t>
    </r>
  </si>
  <si>
    <r>
      <rPr>
        <b/>
        <sz val="8"/>
        <color indexed="8"/>
        <rFont val="Times New Roman"/>
        <family val="1"/>
        <charset val="204"/>
      </rPr>
      <t>Мероприятие 1.1.1</t>
    </r>
    <r>
      <rPr>
        <sz val="8"/>
        <color indexed="8"/>
        <rFont val="Times New Roman"/>
        <family val="1"/>
        <charset val="204"/>
      </rPr>
      <t>. Реализация и внедрение мер по сокращению уровня правонарушений и преступлений среди обучающихся образовательных организаций</t>
    </r>
  </si>
  <si>
    <r>
      <rPr>
        <b/>
        <sz val="8"/>
        <rFont val="Times New Roman"/>
        <family val="1"/>
        <charset val="204"/>
      </rPr>
      <t xml:space="preserve">Задача 1.2. </t>
    </r>
    <r>
      <rPr>
        <sz val="8"/>
        <rFont val="Times New Roman"/>
        <family val="1"/>
        <charset val="204"/>
      </rPr>
      <t xml:space="preserve"> Организация профилактической  работы в муниципальных образовательных организациях города Астрахани по пропаганде здорового образа жизни, вреда курения, алкоголизма и наркотиков</t>
    </r>
  </si>
  <si>
    <r>
      <rPr>
        <b/>
        <sz val="8"/>
        <rFont val="Times New Roman"/>
        <family val="1"/>
        <charset val="204"/>
      </rPr>
      <t>Мероприятие 1.2.1</t>
    </r>
    <r>
      <rPr>
        <sz val="8"/>
        <rFont val="Times New Roman"/>
        <family val="1"/>
        <charset val="204"/>
      </rPr>
      <t>.  Разработка и осуществление комплекса мероприятий, способствующих формированию здорового образа жизни и профилактике всех форм зависимостей у обучающихся образовательных организаций</t>
    </r>
  </si>
  <si>
    <r>
      <rPr>
        <b/>
        <sz val="8"/>
        <rFont val="Times New Roman"/>
        <family val="1"/>
        <charset val="204"/>
      </rPr>
      <t>Задача 1.3.</t>
    </r>
    <r>
      <rPr>
        <sz val="8"/>
        <rFont val="Times New Roman"/>
        <family val="1"/>
        <charset val="204"/>
      </rPr>
      <t xml:space="preserve"> Формирование толерантного сознания и поведения, противодействие экстремизму у обучающихся </t>
    </r>
  </si>
  <si>
    <r>
      <rPr>
        <b/>
        <sz val="8"/>
        <rFont val="Times New Roman"/>
        <family val="1"/>
        <charset val="204"/>
      </rPr>
      <t>Мероприятие 1.3.1.</t>
    </r>
    <r>
      <rPr>
        <sz val="8"/>
        <rFont val="Times New Roman"/>
        <family val="1"/>
        <charset val="204"/>
      </rPr>
      <t xml:space="preserve"> Разработка и реализация мер, направленных на распространение в среде обучающихся образовательных организаций МО "Город Астрахань" идей духовного единства и повышения культуры межконфессионального общения</t>
    </r>
  </si>
  <si>
    <r>
      <rPr>
        <b/>
        <sz val="8"/>
        <rFont val="Times New Roman"/>
        <family val="1"/>
        <charset val="204"/>
      </rPr>
      <t xml:space="preserve">Цель 1. </t>
    </r>
    <r>
      <rPr>
        <sz val="8"/>
        <rFont val="Times New Roman"/>
        <family val="1"/>
        <charset val="204"/>
      </rPr>
      <t>Удовлетворение потребностей детей и их родителей в качественных и социально-значимых услугах отдыха для улучшения состояния здоровья детей, проживающих на территории муниципального образования «Город Астрахань»</t>
    </r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</si>
  <si>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 Организация воспитательной  работы с детьми в каникулярное время с обязательной организацией питания и отдыха детей </t>
    </r>
  </si>
  <si>
    <r>
      <rPr>
        <b/>
        <sz val="8"/>
        <rFont val="Times New Roman"/>
        <family val="1"/>
        <charset val="204"/>
      </rPr>
      <t>Мероприятие 1.1.1.</t>
    </r>
    <r>
      <rPr>
        <sz val="8"/>
        <rFont val="Times New Roman"/>
        <family val="1"/>
        <charset val="204"/>
      </rPr>
      <t xml:space="preserve"> Организация работы  лагерей с дневным пребыванием на базе муниципальных образовательных организаций в летний каникулярный период</t>
    </r>
  </si>
  <si>
    <r>
      <rPr>
        <b/>
        <sz val="8"/>
        <rFont val="Times New Roman"/>
        <family val="1"/>
        <charset val="204"/>
      </rPr>
      <t xml:space="preserve">Задача 1.2. </t>
    </r>
    <r>
      <rPr>
        <sz val="8"/>
        <rFont val="Times New Roman"/>
        <family val="1"/>
        <charset val="204"/>
      </rPr>
      <t xml:space="preserve">Приобщение детей и подростков к здоровому образу жизни во внешкольное время </t>
    </r>
  </si>
  <si>
    <r>
      <rPr>
        <b/>
        <sz val="8"/>
        <rFont val="Times New Roman"/>
        <family val="1"/>
        <charset val="204"/>
      </rPr>
      <t>Мероприятие 1.2.1.</t>
    </r>
    <r>
      <rPr>
        <sz val="8"/>
        <rFont val="Times New Roman"/>
        <family val="1"/>
        <charset val="204"/>
      </rPr>
      <t xml:space="preserve"> Организация работы по формированию здорового образа жизни </t>
    </r>
  </si>
  <si>
    <r>
      <rPr>
        <b/>
        <sz val="8"/>
        <rFont val="Times New Roman"/>
        <family val="1"/>
        <charset val="204"/>
      </rPr>
      <t xml:space="preserve">Задача 1.3. </t>
    </r>
    <r>
      <rPr>
        <sz val="8"/>
        <rFont val="Times New Roman"/>
        <family val="1"/>
        <charset val="204"/>
      </rPr>
      <t xml:space="preserve">Создание условий для сохранения и дальнейшего развития организаций, деятельность которых направлена на реализацию услуг по обеспечению отдыха детей </t>
    </r>
  </si>
  <si>
    <r>
      <rPr>
        <b/>
        <sz val="8"/>
        <rFont val="Times New Roman"/>
        <family val="1"/>
        <charset val="204"/>
      </rPr>
      <t>Мероприятие 1.3.1.</t>
    </r>
    <r>
      <rPr>
        <sz val="8"/>
        <rFont val="Times New Roman"/>
        <family val="1"/>
        <charset val="204"/>
      </rPr>
      <t xml:space="preserve"> Осуществление контроля за качеством и безопасностью предоставляемых услуг, в том числе услуги питания, организация досуга, соблюдение техники безопасности</t>
    </r>
  </si>
  <si>
    <r>
      <rPr>
        <b/>
        <sz val="8"/>
        <rFont val="Times New Roman"/>
        <family val="1"/>
        <charset val="204"/>
      </rPr>
      <t xml:space="preserve">Задача 1.4. </t>
    </r>
    <r>
      <rPr>
        <sz val="8"/>
        <rFont val="Times New Roman"/>
        <family val="1"/>
        <charset val="204"/>
      </rPr>
      <t xml:space="preserve"> Организация общественно-полезной деятельности в муниципальных образовательных организациях в каникулярный период</t>
    </r>
  </si>
  <si>
    <r>
      <rPr>
        <b/>
        <sz val="8"/>
        <rFont val="Times New Roman"/>
        <family val="1"/>
        <charset val="204"/>
      </rPr>
      <t xml:space="preserve">Мероприятие 1.4.1. </t>
    </r>
    <r>
      <rPr>
        <sz val="8"/>
        <rFont val="Times New Roman"/>
        <family val="1"/>
        <charset val="204"/>
      </rPr>
      <t xml:space="preserve">                                                                     Организация работы на пришкольных участках, в  ремонтных бригадах,организованных на базе муниципальных образовательных организаций города</t>
    </r>
  </si>
  <si>
    <r>
      <rPr>
        <b/>
        <sz val="8"/>
        <rFont val="Times New Roman"/>
        <family val="1"/>
        <charset val="204"/>
      </rPr>
      <t xml:space="preserve">Задача 1.5. </t>
    </r>
    <r>
      <rPr>
        <sz val="8"/>
        <rFont val="Times New Roman"/>
        <family val="1"/>
        <charset val="204"/>
      </rPr>
      <t>Создание условий для организации культурно-досуговой деятельности, направленной на развитие творческого потенциала детей, их духовно-нравственное развитие</t>
    </r>
  </si>
  <si>
    <r>
      <rPr>
        <b/>
        <sz val="8"/>
        <color indexed="8"/>
        <rFont val="Times New Roman"/>
        <family val="1"/>
        <charset val="204"/>
      </rPr>
      <t>Мероприятие 1.5.1.</t>
    </r>
    <r>
      <rPr>
        <sz val="8"/>
        <color indexed="8"/>
        <rFont val="Times New Roman"/>
        <family val="1"/>
        <charset val="204"/>
      </rPr>
      <t xml:space="preserve"> Организация досуга детей на базе подростковых клубов МБУ "Центр развития молодежных инициатив"</t>
    </r>
  </si>
  <si>
    <r>
      <rPr>
        <b/>
        <sz val="8"/>
        <rFont val="Times New Roman"/>
        <family val="1"/>
        <charset val="204"/>
      </rPr>
      <t xml:space="preserve">Мероприятие 1.5.2.  </t>
    </r>
    <r>
      <rPr>
        <sz val="8"/>
        <rFont val="Times New Roman"/>
        <family val="1"/>
        <charset val="204"/>
      </rPr>
      <t>Организация и проведение экскурсионно-познавательных поездок по памятным местам города Астрахани и Астраханской области</t>
    </r>
  </si>
  <si>
    <r>
      <rPr>
        <b/>
        <sz val="8"/>
        <rFont val="Times New Roman"/>
        <family val="1"/>
        <charset val="204"/>
      </rPr>
      <t>Мероприятие 1.5.3.</t>
    </r>
    <r>
      <rPr>
        <sz val="8"/>
        <rFont val="Times New Roman"/>
        <family val="1"/>
        <charset val="204"/>
      </rPr>
      <t xml:space="preserve"> Организация туристических походов</t>
    </r>
  </si>
  <si>
    <r>
      <rPr>
        <b/>
        <sz val="8"/>
        <rFont val="Times New Roman"/>
        <family val="1"/>
        <charset val="204"/>
      </rPr>
      <t xml:space="preserve">Мероприятие 1.5.5. </t>
    </r>
    <r>
      <rPr>
        <sz val="8"/>
        <rFont val="Times New Roman"/>
        <family val="1"/>
        <charset val="204"/>
      </rPr>
      <t xml:space="preserve"> Культурно-массовые мероприятия для детей, в том числе посещающих  лагеря с дневным пребыванием</t>
    </r>
  </si>
  <si>
    <t>Бюджет  МО "Город Астрахань"</t>
  </si>
  <si>
    <t>Итого по программе</t>
  </si>
  <si>
    <t>Не требует финансирования</t>
  </si>
  <si>
    <t>Планируемые расходы, в рублях</t>
  </si>
  <si>
    <t>ВЦП   "Организация отдыха и досуга детей и подростков города Астрахани"</t>
  </si>
  <si>
    <t>Управление культуры администрации МО "Город Астрахань"</t>
  </si>
  <si>
    <r>
      <rPr>
        <b/>
        <sz val="8"/>
        <rFont val="Times New Roman"/>
        <family val="1"/>
        <charset val="204"/>
      </rPr>
      <t xml:space="preserve">Мероприятие 1. </t>
    </r>
    <r>
      <rPr>
        <sz val="8"/>
        <rFont val="Times New Roman"/>
        <family val="1"/>
        <charset val="204"/>
      </rPr>
      <t>Создание организационно-методических условий для исполнения муниципального задания подведомственными организациями и повышения качества оказываемых услуг</t>
    </r>
  </si>
  <si>
    <r>
      <rPr>
        <b/>
        <sz val="8"/>
        <rFont val="Times New Roman"/>
        <family val="1"/>
        <charset val="204"/>
      </rPr>
      <t xml:space="preserve">Мероприятие 1.5.4. </t>
    </r>
    <r>
      <rPr>
        <sz val="8"/>
        <rFont val="Times New Roman"/>
        <family val="1"/>
        <charset val="204"/>
      </rPr>
      <t>Организация досуга детей в организациях дополнительного образования в летний каникулярный период</t>
    </r>
  </si>
  <si>
    <r>
      <rPr>
        <b/>
        <sz val="8"/>
        <color indexed="8"/>
        <rFont val="Times New Roman"/>
        <family val="1"/>
        <charset val="204"/>
      </rPr>
      <t xml:space="preserve">Цель 1. </t>
    </r>
    <r>
      <rPr>
        <sz val="8"/>
        <color indexed="8"/>
        <rFont val="Times New Roman"/>
        <family val="1"/>
        <charset val="204"/>
      </rPr>
      <t xml:space="preserve"> Создание необходимых условий для повышения качества образования,  обеспечение безопасных условий осуществления образовательного процесса, сохранение жизни и здоровья обучающихся и педагогов, снижение эксплуатационных затрат на техническое обслуживание</t>
    </r>
  </si>
  <si>
    <r>
      <t xml:space="preserve">Мероприятие 1.1.4.  </t>
    </r>
    <r>
      <rPr>
        <sz val="8"/>
        <rFont val="Times New Roman"/>
        <family val="1"/>
        <charset val="204"/>
      </rPr>
      <t>Транспортное обеспечение  мероприятий</t>
    </r>
  </si>
  <si>
    <r>
      <rPr>
        <b/>
        <sz val="8"/>
        <rFont val="Times New Roman"/>
        <family val="1"/>
        <charset val="204"/>
      </rPr>
      <t>Цель 1.</t>
    </r>
    <r>
      <rPr>
        <sz val="8"/>
        <rFont val="Times New Roman"/>
        <family val="1"/>
        <charset val="204"/>
      </rPr>
      <t xml:space="preserve">  Повышение  степени доступности качественного образования на территории муниципального образования «Город Астрахань» и позитивной социализации обучающихся в соответствии с меняющимися запросами личности, общества, государства и задачами социально-экономического развития города, региона, Российской Федерации</t>
    </r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</si>
  <si>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 Создание условий для обеспечения доступного качественного дошкольного, общего и дополнительного образования </t>
    </r>
  </si>
  <si>
    <r>
      <rPr>
        <b/>
        <sz val="8"/>
        <rFont val="Times New Roman"/>
        <family val="1"/>
        <charset val="204"/>
      </rPr>
      <t>Основное мероприятие 1.1.1.</t>
    </r>
    <r>
      <rPr>
        <sz val="8"/>
        <rFont val="Times New Roman"/>
        <family val="1"/>
        <charset val="204"/>
      </rPr>
      <t xml:space="preserve"> Обеспечение эффективности управления в муниципальной системе образования</t>
    </r>
  </si>
  <si>
    <r>
      <rPr>
        <b/>
        <sz val="8"/>
        <rFont val="Times New Roman"/>
        <family val="1"/>
        <charset val="204"/>
      </rPr>
      <t>Мероприятие 2.</t>
    </r>
    <r>
      <rPr>
        <sz val="8"/>
        <rFont val="Times New Roman"/>
        <family val="1"/>
        <charset val="204"/>
      </rPr>
      <t xml:space="preserve"> Снижение неэффективных расходов в сфере образования</t>
    </r>
  </si>
  <si>
    <r>
      <rPr>
        <b/>
        <sz val="8"/>
        <rFont val="Times New Roman"/>
        <family val="1"/>
        <charset val="204"/>
      </rPr>
      <t>Мероприятие 1.1.1.</t>
    </r>
    <r>
      <rPr>
        <sz val="8"/>
        <rFont val="Times New Roman"/>
        <family val="1"/>
        <charset val="204"/>
      </rPr>
      <t xml:space="preserve"> Обеспечение деятельности подведомственных организаций</t>
    </r>
  </si>
  <si>
    <r>
      <rPr>
        <b/>
        <sz val="8"/>
        <rFont val="Times New Roman"/>
        <family val="1"/>
        <charset val="204"/>
      </rPr>
      <t xml:space="preserve">Мероприятие 1.1.3. </t>
    </r>
    <r>
      <rPr>
        <sz val="8"/>
        <rFont val="Times New Roman"/>
        <family val="1"/>
        <charset val="204"/>
      </rPr>
      <t xml:space="preserve">Обеспечение антитеррористической безопасности в учреждениях образования и спорта администрации муниципального образования «Город Астрахань»  </t>
    </r>
  </si>
  <si>
    <r>
      <rPr>
        <b/>
        <sz val="8"/>
        <rFont val="Times New Roman"/>
        <family val="1"/>
        <charset val="204"/>
      </rPr>
      <t>Задача 2.1.</t>
    </r>
    <r>
      <rPr>
        <sz val="8"/>
        <rFont val="Times New Roman"/>
        <family val="1"/>
        <charset val="204"/>
      </rPr>
      <t xml:space="preserve"> Повышение доступности, своевременности и качества оказания медицинской помощи обучающимся муниципальных образовательных организаций города Астрахани</t>
    </r>
  </si>
  <si>
    <t>2019 год</t>
  </si>
  <si>
    <r>
      <rPr>
        <b/>
        <sz val="8"/>
        <rFont val="Times New Roman"/>
        <family val="1"/>
        <charset val="204"/>
      </rPr>
      <t xml:space="preserve">Мероприятие 1.1.3. </t>
    </r>
    <r>
      <rPr>
        <sz val="8"/>
        <rFont val="Times New Roman"/>
        <family val="1"/>
        <charset val="204"/>
      </rPr>
      <t xml:space="preserve">Оптимизация сети муниципальных образовательных учреждений </t>
    </r>
  </si>
  <si>
    <t>Управление образования администрации МО "Город Астрахань",  управление культуры администрации МО "Город Астрахань"</t>
  </si>
  <si>
    <t>Управление  образования администрации МО "Город Астрахань"</t>
  </si>
  <si>
    <t>Управление образования администрации МО "Город Астрахань"</t>
  </si>
  <si>
    <t>Управление  образования администрации МО "Город Астрахань",  управление культуры администрации МО "Город Астрахань"</t>
  </si>
  <si>
    <r>
      <rPr>
        <b/>
        <sz val="8"/>
        <rFont val="Times New Roman"/>
        <family val="1"/>
        <charset val="204"/>
      </rPr>
      <t>Цель 2.</t>
    </r>
    <r>
      <rPr>
        <sz val="8"/>
        <rFont val="Times New Roman"/>
        <family val="1"/>
        <charset val="204"/>
      </rPr>
      <t xml:space="preserve"> Сохранение и укрепление состояния здоровья детей и подростков посредством создания безопасных условий для организации охраны здоровья обучающихся в муниципальных образовательных организациях города Астрахани</t>
    </r>
  </si>
  <si>
    <t>Управление по капитальному строительству администрации МО "Город Астрахань"</t>
  </si>
  <si>
    <t>Подпрограмма 5.  "Организация отдыха и досуга детей и подростков города Астрахани"</t>
  </si>
  <si>
    <r>
      <t xml:space="preserve">Мероприятие 1.1.6.  </t>
    </r>
    <r>
      <rPr>
        <sz val="8"/>
        <rFont val="Times New Roman"/>
        <family val="1"/>
        <charset val="204"/>
      </rPr>
      <t>Учебные сборы с юношами 10-х классов муниципальных образовательных организаций, проходящими подготовку по основам военной службы</t>
    </r>
  </si>
  <si>
    <r>
      <rPr>
        <b/>
        <sz val="8"/>
        <rFont val="Times New Roman"/>
        <family val="1"/>
        <charset val="204"/>
      </rPr>
      <t xml:space="preserve">Мероприятие 1.1.4. </t>
    </r>
    <r>
      <rPr>
        <sz val="8"/>
        <rFont val="Times New Roman"/>
        <family val="1"/>
        <charset val="204"/>
      </rPr>
      <t xml:space="preserve">Обеспечение пожарной, антитеррористической, санитарно-эпидемиологической безопасности и доступности  в  учреждениях образования и спорта администрации муниципального образования «Город Астрахань»  </t>
    </r>
  </si>
  <si>
    <r>
      <rPr>
        <b/>
        <sz val="8"/>
        <color indexed="8"/>
        <rFont val="Times New Roman"/>
        <family val="1"/>
        <charset val="204"/>
      </rPr>
      <t>Задача 1.1.</t>
    </r>
    <r>
      <rPr>
        <sz val="8"/>
        <color indexed="8"/>
        <rFont val="Times New Roman"/>
        <family val="1"/>
        <charset val="204"/>
      </rPr>
      <t xml:space="preserve">  Приведение зданий и прилегающих территорий в учреждениях образования и спорта администрации муниципального образования «Город Астрахань» в соответствие с требованиями строительных и санитарных норм и правил, создание безопасной, функционально и эстетически привлекательной образовательной среды для обучающихся</t>
    </r>
  </si>
  <si>
    <t>Начальник управления                                                                                                                                              (должность руководителя)</t>
  </si>
  <si>
    <t xml:space="preserve">________________________________И.В. Горина                                                            (подпись и ФИО руководителя)  </t>
  </si>
  <si>
    <t>2020 год</t>
  </si>
  <si>
    <r>
      <rPr>
        <b/>
        <sz val="8"/>
        <color indexed="8"/>
        <rFont val="Times New Roman"/>
        <family val="1"/>
        <charset val="204"/>
      </rPr>
      <t xml:space="preserve">Задача 1.2. </t>
    </r>
    <r>
      <rPr>
        <sz val="8"/>
        <color indexed="8"/>
        <rFont val="Times New Roman"/>
        <family val="1"/>
        <charset val="204"/>
      </rPr>
      <t xml:space="preserve"> Создание необходимых условий для повышения качества образования,  обеспечение безопасных условий осуществления образовательного процесса, сохранение жизни и здоровья обучающихся и педагогов, снижение эксплуатационных затрат на техническое обслуживание</t>
    </r>
  </si>
  <si>
    <r>
      <rPr>
        <b/>
        <sz val="8"/>
        <color indexed="8"/>
        <rFont val="Times New Roman"/>
        <family val="1"/>
        <charset val="204"/>
      </rPr>
      <t>Задача 1.3.</t>
    </r>
    <r>
      <rPr>
        <sz val="8"/>
        <color indexed="8"/>
        <rFont val="Times New Roman"/>
        <family val="1"/>
        <charset val="204"/>
      </rPr>
      <t xml:space="preserve">  Повышение уровня обеспеченности населения МО "Город Астрахань" объектами образования</t>
    </r>
  </si>
  <si>
    <r>
      <rPr>
        <b/>
        <sz val="8"/>
        <rFont val="Times New Roman"/>
        <family val="1"/>
        <charset val="204"/>
      </rPr>
      <t>Задача 1.4.</t>
    </r>
    <r>
      <rPr>
        <sz val="8"/>
        <rFont val="Times New Roman"/>
        <family val="1"/>
        <charset val="204"/>
      </rPr>
      <t xml:space="preserve">  Профилактика правонарушений  среди обучающихся  в муниципальном образовании «Город Астрахань»</t>
    </r>
  </si>
  <si>
    <r>
      <rPr>
        <b/>
        <sz val="8"/>
        <rFont val="Times New Roman"/>
        <family val="1"/>
        <charset val="204"/>
      </rPr>
      <t>Задача 1.5</t>
    </r>
    <r>
      <rPr>
        <sz val="8"/>
        <rFont val="Times New Roman"/>
        <family val="1"/>
        <charset val="204"/>
      </rPr>
      <t>. Сохранение и укрепление состояния здоровья детей и подростков посредством создания безопасных условий для организации охраны здоровья обучающихся в муниципальных образовательных организациях города Астрахани</t>
    </r>
  </si>
  <si>
    <r>
      <rPr>
        <b/>
        <sz val="8"/>
        <rFont val="Times New Roman"/>
        <family val="1"/>
        <charset val="204"/>
      </rPr>
      <t xml:space="preserve">Задача 1.6. </t>
    </r>
    <r>
      <rPr>
        <sz val="8"/>
        <rFont val="Times New Roman"/>
        <family val="1"/>
        <charset val="204"/>
      </rPr>
      <t>Удовлетворение потребностей детей и их родителей в качественных и социально-значимых услугах отдыха для улучшения состояния здоровья детей, проживающих на территории муниципального образования «Город Астрахань»</t>
    </r>
  </si>
  <si>
    <r>
      <rPr>
        <b/>
        <sz val="8"/>
        <rFont val="Times New Roman"/>
        <family val="1"/>
        <charset val="204"/>
      </rPr>
      <t>Мероприятие 2.1.1.</t>
    </r>
    <r>
      <rPr>
        <sz val="8"/>
        <rFont val="Times New Roman"/>
        <family val="1"/>
        <charset val="204"/>
      </rPr>
      <t xml:space="preserve"> Оснащение медицинских кабинетов муниципальных образовательных организаций города Астрахани медицинским оборудованием</t>
    </r>
  </si>
  <si>
    <r>
      <rPr>
        <b/>
        <sz val="8"/>
        <rFont val="Times New Roman"/>
        <family val="1"/>
        <charset val="204"/>
      </rPr>
      <t xml:space="preserve">Цель 1. </t>
    </r>
    <r>
      <rPr>
        <sz val="8"/>
        <rFont val="Times New Roman"/>
        <family val="1"/>
        <charset val="204"/>
      </rPr>
      <t>Создание условий для обеспечения доступности и качества дошкольного, общего и дополнительного образования</t>
    </r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</si>
  <si>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Удовлетворение потребностей </t>
    </r>
    <r>
      <rPr>
        <sz val="8"/>
        <rFont val="Times New Roman"/>
        <family val="1"/>
        <charset val="204"/>
      </rPr>
      <t xml:space="preserve"> граждан в получении доступного и качественного дошкольного, общего и дополнительного образования с учетом индивидуальных способностей обучающихся на территории МО «Город Астрахань»</t>
    </r>
  </si>
  <si>
    <r>
      <rPr>
        <b/>
        <sz val="8"/>
        <rFont val="Times New Roman"/>
        <family val="1"/>
        <charset val="204"/>
      </rPr>
      <t>Мероприятие 1.1.5. С</t>
    </r>
    <r>
      <rPr>
        <sz val="8"/>
        <rFont val="Times New Roman"/>
        <family val="1"/>
        <charset val="204"/>
      </rPr>
      <t xml:space="preserve">оздание в дошкольных образовательных, общеобразовательных организациях, организациях дополнительного образования (в том числе в организациях, осуществляющих образовательную деятельность по адаптированным образовательным программам) условий для получения детьми-инвалидами качественного образования </t>
    </r>
  </si>
  <si>
    <r>
      <rPr>
        <b/>
        <sz val="8"/>
        <color theme="1"/>
        <rFont val="Times New Roman"/>
        <family val="1"/>
        <charset val="204"/>
      </rPr>
      <t>Цель 1</t>
    </r>
    <r>
      <rPr>
        <sz val="8"/>
        <color theme="1"/>
        <rFont val="Times New Roman"/>
        <family val="1"/>
        <charset val="204"/>
      </rPr>
      <t>. Повышение уровня обеспеченности населения МО "Город Астрахань" объектами образования</t>
    </r>
  </si>
  <si>
    <r>
      <rPr>
        <b/>
        <sz val="8"/>
        <color theme="1"/>
        <rFont val="Times New Roman"/>
        <family val="1"/>
        <charset val="204"/>
      </rPr>
      <t>Задача 1.1.</t>
    </r>
    <r>
      <rPr>
        <sz val="8"/>
        <color theme="1"/>
        <rFont val="Times New Roman"/>
        <family val="1"/>
        <charset val="204"/>
      </rPr>
      <t xml:space="preserve"> Развитие сети образовательных организаций города и создание соответствующих нормативам условий пребывания для обучающихся и воспитанников в образовательных организациях</t>
    </r>
  </si>
  <si>
    <r>
      <rPr>
        <b/>
        <sz val="8"/>
        <color theme="1"/>
        <rFont val="Times New Roman"/>
        <family val="1"/>
        <charset val="204"/>
      </rPr>
      <t>Мероприятие 1.1.1.</t>
    </r>
    <r>
      <rPr>
        <sz val="8"/>
        <color theme="1"/>
        <rFont val="Times New Roman"/>
        <family val="1"/>
        <charset val="204"/>
      </rPr>
      <t xml:space="preserve">  Строительство детского сада в мкр. Бабаевского в Ленинском районе г.Астрахани</t>
    </r>
  </si>
  <si>
    <r>
      <rPr>
        <b/>
        <sz val="8"/>
        <color theme="1"/>
        <rFont val="Times New Roman"/>
        <family val="1"/>
        <charset val="204"/>
      </rPr>
      <t>Мероприятие 1.1.2.</t>
    </r>
    <r>
      <rPr>
        <sz val="8"/>
        <color theme="1"/>
        <rFont val="Times New Roman"/>
        <family val="1"/>
        <charset val="204"/>
      </rPr>
      <t xml:space="preserve">  Строительство детского сада в на 140 мест в пос. Янго-Аул</t>
    </r>
  </si>
  <si>
    <r>
      <rPr>
        <b/>
        <sz val="8"/>
        <color theme="1"/>
        <rFont val="Times New Roman"/>
        <family val="1"/>
        <charset val="204"/>
      </rPr>
      <t xml:space="preserve">Мероприятие 1.1.2. </t>
    </r>
    <r>
      <rPr>
        <sz val="8"/>
        <color theme="1"/>
        <rFont val="Times New Roman"/>
        <family val="1"/>
        <charset val="204"/>
      </rPr>
      <t xml:space="preserve"> Строительство общеобразовательной организации по ул.3-я Зеленгинская в Кировском районе г.Астрахани</t>
    </r>
  </si>
  <si>
    <r>
      <rPr>
        <b/>
        <sz val="8"/>
        <rFont val="Times New Roman"/>
        <family val="1"/>
        <charset val="204"/>
      </rPr>
      <t xml:space="preserve">Мероприятие 1.1.2. </t>
    </r>
    <r>
      <rPr>
        <sz val="8"/>
        <rFont val="Times New Roman"/>
        <family val="1"/>
        <charset val="204"/>
      </rPr>
      <t xml:space="preserve">Обеспечение содержания и развития материально-технической базы, создание безопасных условий пребывания обучающихся, воспитанников и персонала, проведение мероприятий  </t>
    </r>
  </si>
  <si>
    <r>
      <rPr>
        <b/>
        <sz val="8"/>
        <color theme="0"/>
        <rFont val="Times New Roman"/>
        <family val="1"/>
        <charset val="204"/>
      </rPr>
      <t xml:space="preserve">Мероприятие 1.1.3. </t>
    </r>
    <r>
      <rPr>
        <sz val="8"/>
        <color theme="0"/>
        <rFont val="Times New Roman"/>
        <family val="1"/>
        <charset val="204"/>
      </rPr>
      <t xml:space="preserve"> Строительство школы на 800 учащихся по пер. Грановского в Трусовском районе г. Астрахани</t>
    </r>
  </si>
  <si>
    <r>
      <t xml:space="preserve"> Мероприятие 1.1.7. </t>
    </r>
    <r>
      <rPr>
        <sz val="8"/>
        <rFont val="Times New Roman"/>
        <family val="1"/>
        <charset val="204"/>
      </rPr>
      <t>Расходы на частичное доведение размера средней заработной платы педагогических работников муниципальных образовательных организаций дополнительного образования детей в целях реализации Указа Президента РФ от 01.06.2012 №761 "О национальной стратегии действий в интересах детей на 2012-2017 гг."</t>
    </r>
  </si>
  <si>
    <r>
      <rPr>
        <b/>
        <sz val="8"/>
        <rFont val="Times New Roman"/>
        <family val="1"/>
        <charset val="204"/>
      </rPr>
      <t xml:space="preserve">Мероприятие 1.1.3. Капитальный ремонт муниципальных образовательных организаций </t>
    </r>
    <r>
      <rPr>
        <sz val="8"/>
        <rFont val="Times New Roman"/>
        <family val="1"/>
        <charset val="204"/>
      </rPr>
      <t>(МБОУ СОШ № 13, МБОУ СОШ № 74, МБОУ СОШ № 14, МБДОУ № 85, МБДОУ № 108, МБОУ "Гимназия № 2", МБДОУ № 64, МБОУ СОШ № 57, МБОУ СОШ № 58, МБОУ ООШ № 3, МБОУ ООШ № 16, МБОУ СОШ № 1, МБОУ СОШ 53, МБОУ СОШ № 66, МБОУ СОШ № 37, МБДОУ № 80, МБДОУ № 54, МБДОУ № 77, МБОУ ООШ № 7, МБОУ СОШ № 20, МБДОУ № 89, МБОУ ООШ № 5)</t>
    </r>
  </si>
  <si>
    <r>
      <t>Мероприятие 1.1.5.</t>
    </r>
    <r>
      <rPr>
        <sz val="8"/>
        <rFont val="Times New Roman"/>
        <family val="1"/>
        <charset val="204"/>
      </rPr>
      <t>Создание дополнительных мест для детей в возрасте от 2 месяцев до 3-х лет в образовательных организациях, осуществляющих образовательную деятельность по образовательным программам дошкольного образования</t>
    </r>
  </si>
  <si>
    <t>Бюджет  АО</t>
  </si>
  <si>
    <r>
      <rPr>
        <b/>
        <sz val="8"/>
        <rFont val="Times New Roman"/>
        <family val="1"/>
        <charset val="204"/>
      </rPr>
      <t>Мероприятие 1.1.6.</t>
    </r>
    <r>
      <rPr>
        <sz val="8"/>
        <rFont val="Times New Roman"/>
        <family val="1"/>
        <charset val="204"/>
      </rPr>
      <t xml:space="preserve"> Мероприятия по совершенствованию существующей инфраструктуры организаций образования и спорта</t>
    </r>
  </si>
  <si>
    <t>ГРБС (ведомство)</t>
  </si>
  <si>
    <t>Код</t>
  </si>
  <si>
    <t>целевой статьи</t>
  </si>
  <si>
    <t>Цели, задачи , наименование программных мероприятий</t>
  </si>
  <si>
    <t>Рогачева Е.В. 51-27-62 (51-27-84)</t>
  </si>
  <si>
    <t>01Э1140000</t>
  </si>
  <si>
    <t>0100000000</t>
  </si>
  <si>
    <t>0110000000</t>
  </si>
  <si>
    <t>0110160000</t>
  </si>
  <si>
    <t>0110140000</t>
  </si>
  <si>
    <t>0112040000</t>
  </si>
  <si>
    <t>0111540000</t>
  </si>
  <si>
    <t>0113460000</t>
  </si>
  <si>
    <t>0120000000</t>
  </si>
  <si>
    <t>0120240000</t>
  </si>
  <si>
    <t>0121640000</t>
  </si>
  <si>
    <t>0124740000</t>
  </si>
  <si>
    <t>0141040000</t>
  </si>
  <si>
    <t>0151240000</t>
  </si>
  <si>
    <t>0151340000</t>
  </si>
  <si>
    <r>
      <rPr>
        <b/>
        <sz val="8"/>
        <rFont val="Times New Roman"/>
        <family val="1"/>
        <charset val="204"/>
      </rPr>
      <t>Цель 1.</t>
    </r>
    <r>
      <rPr>
        <sz val="8"/>
        <rFont val="Times New Roman"/>
        <family val="1"/>
        <charset val="204"/>
      </rPr>
      <t xml:space="preserve"> Обеспечение доступности качественного дошкольного образования на территории муниципального образования "Город Астрахань"</t>
    </r>
  </si>
  <si>
    <r>
      <rPr>
        <b/>
        <sz val="8"/>
        <rFont val="Times New Roman"/>
        <family val="1"/>
        <charset val="204"/>
      </rPr>
      <t>Задача 1.</t>
    </r>
    <r>
      <rPr>
        <sz val="8"/>
        <rFont val="Times New Roman"/>
        <family val="1"/>
        <charset val="204"/>
      </rPr>
      <t xml:space="preserve">  Создание дополнительных мест в муниципальных дошкольных образовательных организациях</t>
    </r>
  </si>
  <si>
    <r>
      <rPr>
        <b/>
        <sz val="8"/>
        <rFont val="Times New Roman"/>
        <family val="1"/>
        <charset val="204"/>
      </rPr>
      <t xml:space="preserve">Мероприятие 1.1.1. </t>
    </r>
    <r>
      <rPr>
        <sz val="8"/>
        <rFont val="Times New Roman"/>
        <family val="1"/>
        <charset val="204"/>
      </rPr>
      <t xml:space="preserve">  Приобретение зданий и помещений для создания дополнительных мест для детей от 2 месяцев до 3 лет  в муниципальных дошкольных образовательных организациях       </t>
    </r>
  </si>
  <si>
    <t>Подпрограмма 6. "Создание дополнительных мест для детей в возрасте от 2-х месяцев до 3-х лет в муниципальных дошкольных образовательных организациях города Астрахани"</t>
  </si>
  <si>
    <t xml:space="preserve">Управление муниципального имущества администрации МО "Город Астрахань" </t>
  </si>
  <si>
    <t>Федеральный бюджет</t>
  </si>
  <si>
    <r>
      <rPr>
        <b/>
        <sz val="8"/>
        <rFont val="Times New Roman"/>
        <family val="1"/>
        <charset val="204"/>
      </rPr>
      <t>Задача 1.7.</t>
    </r>
    <r>
      <rPr>
        <sz val="8"/>
        <rFont val="Times New Roman"/>
        <family val="1"/>
        <charset val="204"/>
      </rPr>
      <t xml:space="preserve"> Обеспечение доступности качественного дошкольного образования на территории муниципального образования "Город Астрахань"</t>
    </r>
  </si>
  <si>
    <t>01136R1590</t>
  </si>
  <si>
    <t>2021 год</t>
  </si>
  <si>
    <t>0112641021</t>
  </si>
  <si>
    <r>
      <rPr>
        <b/>
        <sz val="8"/>
        <rFont val="Times New Roman"/>
        <family val="1"/>
        <charset val="204"/>
      </rPr>
      <t xml:space="preserve">Мероприятие 1.1.1. </t>
    </r>
    <r>
      <rPr>
        <sz val="8"/>
        <rFont val="Times New Roman"/>
        <family val="1"/>
        <charset val="204"/>
      </rPr>
      <t xml:space="preserve"> 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
       </t>
    </r>
  </si>
  <si>
    <r>
      <rPr>
        <b/>
        <sz val="8"/>
        <color rgb="FFFF0000"/>
        <rFont val="Times New Roman"/>
        <family val="1"/>
        <charset val="204"/>
      </rPr>
      <t>Мероприятие 1.1.2.</t>
    </r>
    <r>
      <rPr>
        <sz val="8"/>
        <color rgb="FFFF0000"/>
        <rFont val="Times New Roman"/>
        <family val="1"/>
        <charset val="204"/>
      </rPr>
      <t xml:space="preserve">  Строительство детского сада в на 140 мест в пос. Янго-Аул</t>
    </r>
  </si>
  <si>
    <r>
      <rPr>
        <b/>
        <sz val="8"/>
        <color rgb="FFFF0000"/>
        <rFont val="Times New Roman"/>
        <family val="1"/>
        <charset val="204"/>
      </rPr>
      <t xml:space="preserve">Мероприятие 1.1.3. </t>
    </r>
    <r>
      <rPr>
        <sz val="8"/>
        <color rgb="FFFF0000"/>
        <rFont val="Times New Roman"/>
        <family val="1"/>
        <charset val="204"/>
      </rPr>
      <t xml:space="preserve"> Строительство школы на 800 учащихся по пер. Грановского в Трусовском районе г. Астрахани</t>
    </r>
  </si>
  <si>
    <t xml:space="preserve">Управление  образования администрации МО "Город Астрахань",  управление культуры администрации МО "Город Астрахань", управление по капитальному строительству администрации МО "Город Астрахань", управление муниципального имущества администрации МО "Город Астрахань" </t>
  </si>
  <si>
    <t>Управление образования администрации МО "Город Астрахань", управление по капитальному строительству администрации МО "Город Астрахань"</t>
  </si>
  <si>
    <t>Управление по капитальному строительству администрации МО "Город Астрахань", управление образования администрации МО "Город Астрахань"</t>
  </si>
  <si>
    <t>741</t>
  </si>
  <si>
    <t>Управление культуры администрации МО "Город Астрахань", управление образования администрации МО "Город Астрахань"</t>
  </si>
  <si>
    <r>
      <rPr>
        <b/>
        <sz val="8"/>
        <rFont val="Times New Roman"/>
        <family val="1"/>
        <charset val="204"/>
      </rPr>
      <t>Основное мероприятие.</t>
    </r>
    <r>
      <rPr>
        <sz val="8"/>
        <rFont val="Times New Roman"/>
        <family val="1"/>
        <charset val="204"/>
      </rPr>
      <t xml:space="preserve"> Обеспечение эффективности управления в муниципальной системе образования</t>
    </r>
  </si>
  <si>
    <t>82%</t>
  </si>
  <si>
    <t>чистые по УО (без УК, УМИ и УКС)</t>
  </si>
  <si>
    <t>9%</t>
  </si>
  <si>
    <r>
      <rPr>
        <b/>
        <sz val="8"/>
        <rFont val="Times New Roman"/>
        <family val="1"/>
        <charset val="204"/>
      </rPr>
      <t xml:space="preserve">Мероприятие 1.1.1. </t>
    </r>
    <r>
      <rPr>
        <sz val="8"/>
        <rFont val="Times New Roman"/>
        <family val="1"/>
        <charset val="204"/>
      </rPr>
      <t xml:space="preserve">Проведение текущего ремонта  и благоустройство прилегающих территорий учреждений образования и спорта администрации муниципального образования «Город Астрахань»  </t>
    </r>
  </si>
  <si>
    <r>
      <rPr>
        <b/>
        <sz val="8"/>
        <color indexed="8"/>
        <rFont val="Times New Roman"/>
        <family val="1"/>
        <charset val="204"/>
      </rPr>
      <t>Задача 1.1.</t>
    </r>
    <r>
      <rPr>
        <sz val="8"/>
        <color indexed="8"/>
        <rFont val="Times New Roman"/>
        <family val="1"/>
        <charset val="204"/>
      </rPr>
      <t xml:space="preserve"> Предупреждение безнадзорности, беспризорности, правонарушений и антиобщественных действий обучающихся, выявление и устранение причин и условий, способствующих этому</t>
    </r>
  </si>
  <si>
    <r>
      <rPr>
        <b/>
        <sz val="8"/>
        <color indexed="8"/>
        <rFont val="Times New Roman"/>
        <family val="1"/>
        <charset val="204"/>
      </rPr>
      <t xml:space="preserve">Мероприятие 1.1.1. </t>
    </r>
    <r>
      <rPr>
        <sz val="8"/>
        <color indexed="8"/>
        <rFont val="Times New Roman"/>
        <family val="1"/>
        <charset val="204"/>
      </rPr>
      <t>Реализация и внедрение мер по сокращению уровня правонарушений и преступлений среди обучающихся образовательных организаций</t>
    </r>
  </si>
  <si>
    <r>
      <rPr>
        <b/>
        <sz val="8"/>
        <rFont val="Times New Roman"/>
        <family val="1"/>
        <charset val="204"/>
      </rPr>
      <t>Мероприятие 1.2.1.</t>
    </r>
    <r>
      <rPr>
        <sz val="8"/>
        <rFont val="Times New Roman"/>
        <family val="1"/>
        <charset val="204"/>
      </rPr>
      <t xml:space="preserve">  Разработка и осуществление комплекса мероприятий, способствующих формированию здорового образа жизни и профилактике всех форм зависимостей у обучающихся образовательных организаций</t>
    </r>
  </si>
  <si>
    <r>
      <rPr>
        <b/>
        <sz val="8"/>
        <rFont val="Times New Roman"/>
        <family val="1"/>
        <charset val="204"/>
      </rPr>
      <t xml:space="preserve">Цель 1. </t>
    </r>
    <r>
      <rPr>
        <sz val="8"/>
        <rFont val="Times New Roman"/>
        <family val="1"/>
        <charset val="204"/>
      </rPr>
      <t>Создание условий для обеспечения доступного качественного дошкольного, общего и дополнительного образования</t>
    </r>
  </si>
  <si>
    <t>01410L0000</t>
  </si>
  <si>
    <t>0141060000</t>
  </si>
  <si>
    <r>
      <rPr>
        <b/>
        <sz val="8"/>
        <rFont val="Times New Roman"/>
        <family val="1"/>
        <charset val="204"/>
      </rPr>
      <t>Задача 2.2.</t>
    </r>
    <r>
      <rPr>
        <sz val="8"/>
        <rFont val="Times New Roman"/>
        <family val="1"/>
        <charset val="204"/>
      </rPr>
      <t xml:space="preserve"> Повышение эффективности системы организации питания обучающихся</t>
    </r>
  </si>
  <si>
    <r>
      <rPr>
        <b/>
        <sz val="8"/>
        <rFont val="Times New Roman"/>
        <family val="1"/>
        <charset val="204"/>
      </rPr>
      <t>Мероприятие 2.2.1.</t>
    </r>
    <r>
      <rPr>
        <sz val="8"/>
        <rFont val="Times New Roman"/>
        <family val="1"/>
        <charset val="204"/>
      </rPr>
      <t xml:space="preserve"> Организация бесплатного горячего питания обучающихся, получающих начальное общее образование в муниципальных образовательных организациях муниципального образования "Город Астрахань"</t>
    </r>
  </si>
  <si>
    <t xml:space="preserve">Рогачева Елена Владимировна
51-27-62 </t>
  </si>
  <si>
    <t>Бюджет МО "Город Астрахань"</t>
  </si>
  <si>
    <t xml:space="preserve">Управление образования администрации МО "Город Астрахань", управление культуры администрации МО "Город Астрахань", управление по капитальному строительству администрации МО "Город Астрахань", управление муниципального имущества администрации МО "Город Астрахань" </t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</si>
  <si>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 Организация воспитательной работы с детьми в каникулярное время с обязательной организацией питания и отдыха детей </t>
    </r>
  </si>
  <si>
    <t>Подпрограмма 5. "Организация отдыха и досуга детей и подростков города Астрахани"</t>
  </si>
  <si>
    <r>
      <rPr>
        <b/>
        <sz val="8"/>
        <rFont val="Times New Roman"/>
        <family val="1"/>
        <charset val="204"/>
      </rPr>
      <t xml:space="preserve">Мероприятие 1.4.1. </t>
    </r>
    <r>
      <rPr>
        <sz val="8"/>
        <rFont val="Times New Roman"/>
        <family val="1"/>
        <charset val="204"/>
      </rPr>
      <t xml:space="preserve">                                                                     Организация работы на пришкольных участках, в  ремонтных бригадах, организованных на базе муниципальных образовательных организаций города</t>
    </r>
  </si>
  <si>
    <r>
      <rPr>
        <b/>
        <sz val="8"/>
        <rFont val="Times New Roman"/>
        <family val="1"/>
        <charset val="204"/>
      </rPr>
      <t xml:space="preserve">Мероприятие 1.1.2. </t>
    </r>
    <r>
      <rPr>
        <sz val="8"/>
        <rFont val="Times New Roman"/>
        <family val="1"/>
        <charset val="204"/>
      </rPr>
      <t xml:space="preserve">Обеспечение пожарной и санитарно-эпидемиологической безопасности в  учреждениях образования и спорта администрации муниципального образования «Город Астрахань»  </t>
    </r>
  </si>
  <si>
    <r>
      <rPr>
        <b/>
        <sz val="8"/>
        <color indexed="8"/>
        <rFont val="Times New Roman"/>
        <family val="1"/>
        <charset val="204"/>
      </rPr>
      <t xml:space="preserve">Цель 1. </t>
    </r>
    <r>
      <rPr>
        <sz val="8"/>
        <color indexed="8"/>
        <rFont val="Times New Roman"/>
        <family val="1"/>
        <charset val="204"/>
      </rPr>
      <t xml:space="preserve"> Создание необходимых условий для повышения качества образования, обеспечение безопасных условий осуществления образовательного процесса, сохранение жизни и здоровья обучающихся и педагогов, снижение эксплуатационных затрат на техническое обслуживание</t>
    </r>
  </si>
  <si>
    <r>
      <rPr>
        <b/>
        <sz val="8"/>
        <rFont val="Times New Roman"/>
        <family val="1"/>
        <charset val="204"/>
      </rPr>
      <t>Задача 1.1.</t>
    </r>
    <r>
      <rPr>
        <sz val="8"/>
        <rFont val="Times New Roman"/>
        <family val="1"/>
        <charset val="204"/>
      </rPr>
      <t xml:space="preserve">Удовлетворение потребностей </t>
    </r>
    <r>
      <rPr>
        <sz val="8"/>
        <rFont val="Times New Roman"/>
        <family val="1"/>
        <charset val="204"/>
      </rPr>
      <t>граждан в получении доступного и качественного дошкольного, общего и дополнительного образования с учетом индивидуальных способностей обучающихся на территории МО «Город Астрахань»</t>
    </r>
  </si>
  <si>
    <r>
      <rPr>
        <b/>
        <sz val="8"/>
        <rFont val="Times New Roman"/>
        <family val="1"/>
        <charset val="204"/>
      </rPr>
      <t>Задача 1.4.</t>
    </r>
    <r>
      <rPr>
        <sz val="8"/>
        <rFont val="Times New Roman"/>
        <family val="1"/>
        <charset val="204"/>
      </rPr>
      <t xml:space="preserve">  Профилактика правонарушений среди обучающихся  в муниципальном образовании «Город Астрахань»</t>
    </r>
  </si>
  <si>
    <t xml:space="preserve">Управление  образования администрации МО "Город Астрахань", управление культуры администрации МО "Город Астрахань", управление по капитальному строительству администрации МО "Город Астрахань", управление муниципального имущества администрации МО "Город Астрахань" </t>
  </si>
  <si>
    <t>Управление образования администрации МО "Город Астрахань", управление культуры администрации МО "Город Астрахань"</t>
  </si>
  <si>
    <t>Распределение расходов на реализацию муниципальной программы МО "Город Астрахань" "Развитие системы образования МО "Город Астрахань"</t>
  </si>
  <si>
    <t>Приложение 2 к муниципальной программе муниципального образования "Город Астрахань" "Развитие системы образования муниципального образования  "Город Астрахань"</t>
  </si>
  <si>
    <t>0110153030</t>
  </si>
  <si>
    <r>
      <rPr>
        <b/>
        <sz val="8"/>
        <rFont val="Times New Roman"/>
        <family val="1"/>
        <charset val="204"/>
      </rPr>
      <t>Мероприятие 2.1.1.</t>
    </r>
    <r>
      <rPr>
        <sz val="8"/>
        <rFont val="Times New Roman"/>
        <family val="1"/>
        <charset val="204"/>
      </rPr>
      <t xml:space="preserve">  Оснащение медицинских кабинетов муниципальных образовательных организаций города Астрахани медицинским оборудованием, мебелью, оргтехникой и медицинскими изделиями</t>
    </r>
  </si>
  <si>
    <t>субсидия</t>
  </si>
  <si>
    <t>лицей2 в 100%</t>
  </si>
  <si>
    <t>ИМТ</t>
  </si>
  <si>
    <t>0140740000</t>
  </si>
  <si>
    <t>01407L0000</t>
  </si>
  <si>
    <t>0140000000</t>
  </si>
  <si>
    <t>9% софин.предоставленной  субсидии АО</t>
  </si>
  <si>
    <t>2020 г в соотв. с росписью ФКУ от 24.12.2020 № 141</t>
  </si>
  <si>
    <t>%</t>
  </si>
  <si>
    <t xml:space="preserve">____________________________________________________________И.В. Горина                                                 (подпись и ФИО руководителя)  </t>
  </si>
  <si>
    <t>сумма на 2021</t>
  </si>
  <si>
    <r>
      <t xml:space="preserve">Мероприятие 1.1.4. </t>
    </r>
    <r>
      <rPr>
        <sz val="8"/>
        <rFont val="Times New Roman"/>
        <family val="1"/>
        <charset val="204"/>
      </rPr>
      <t>Транспортное обеспечение  мероприятий</t>
    </r>
  </si>
  <si>
    <t>0140743050</t>
  </si>
  <si>
    <r>
      <rPr>
        <b/>
        <sz val="8"/>
        <rFont val="Times New Roman"/>
        <family val="1"/>
        <charset val="204"/>
      </rPr>
      <t xml:space="preserve">Мероприятие 1.1.2. </t>
    </r>
    <r>
      <rPr>
        <sz val="8"/>
        <rFont val="Times New Roman"/>
        <family val="1"/>
        <charset val="204"/>
      </rPr>
      <t xml:space="preserve"> 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
       </t>
    </r>
  </si>
  <si>
    <t>ПРОЕКТ от 30.06.2021</t>
  </si>
  <si>
    <r>
      <rPr>
        <b/>
        <sz val="8"/>
        <rFont val="Times New Roman"/>
        <family val="1"/>
        <charset val="204"/>
      </rPr>
      <t>Мероприятие 2.2.2.</t>
    </r>
    <r>
      <rPr>
        <sz val="8"/>
        <rFont val="Times New Roman"/>
        <family val="1"/>
        <charset val="204"/>
      </rPr>
      <t xml:space="preserve"> Обеспечение бесплатного двухразового питания, обучающихся с ограниченными возможностями здоровья в  общеобразовательных организациях </t>
    </r>
  </si>
  <si>
    <t>2021 год в соотв. с росписью ФКУ от 31.05.2021 № 52+увед. Субвенции МЗ по УО на 22 141 300</t>
  </si>
  <si>
    <t xml:space="preserve">                                                                                              + увед.Субсидия по УМИ выкуп на 89 697 210=311 110 210</t>
  </si>
  <si>
    <r>
      <t xml:space="preserve">Мероприятие 1.1.5. </t>
    </r>
    <r>
      <rPr>
        <sz val="8"/>
        <rFont val="Times New Roman"/>
        <family val="1"/>
        <charset val="204"/>
      </rPr>
      <t>Оснащение создаваемых мест для обучающихся, воспитанников в образовательных организациях</t>
    </r>
  </si>
  <si>
    <t>Заместитель главы муниципального бразования 
"Город Астрахань"  - начальник управления образования                                                                                                                                             (должность руководителя)</t>
  </si>
  <si>
    <r>
      <t xml:space="preserve">Мероприятие 1.1.5. </t>
    </r>
    <r>
      <rPr>
        <sz val="8"/>
        <rFont val="Times New Roman"/>
        <family val="1"/>
        <charset val="204"/>
      </rPr>
      <t>Организация предоставления образования, оснащение вновь создаваемых объектов образования</t>
    </r>
  </si>
  <si>
    <r>
      <t xml:space="preserve">Мероприятие 1.1.8. </t>
    </r>
    <r>
      <rPr>
        <sz val="8"/>
        <rFont val="Times New Roman"/>
        <family val="1"/>
        <charset val="204"/>
      </rPr>
      <t xml:space="preserve">Создание дополнительных мест в действующей сети </t>
    </r>
  </si>
  <si>
    <r>
      <rPr>
        <b/>
        <sz val="8"/>
        <rFont val="Times New Roman"/>
        <family val="1"/>
        <charset val="204"/>
      </rPr>
      <t>Мероприятие 2.2.2.</t>
    </r>
    <r>
      <rPr>
        <sz val="8"/>
        <rFont val="Times New Roman"/>
        <family val="1"/>
        <charset val="204"/>
      </rPr>
      <t xml:space="preserve"> Обеспечение бесплатным двухразовым питанием, обучающихся с ограниченными возможностями здоровья в общеобразовательных организациях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</si>
</sst>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rgb="FFFF0000"/>
      <name val="Times New Roman"/>
      <family val="1"/>
      <charset val="204"/>
    </font>
    <font>
      <sz val="10"/>
      <name val="Calibri"/>
      <family val="2"/>
      <scheme val="minor"/>
    </font>
    <font>
      <sz val="8"/>
      <color theme="0"/>
      <name val="Times New Roman"/>
      <family val="1"/>
      <charset val="204"/>
    </font>
    <font>
      <b/>
      <sz val="8"/>
      <color theme="0"/>
      <name val="Times New Roman"/>
      <family val="1"/>
      <charset val="204"/>
    </font>
    <font>
      <sz val="10"/>
      <color theme="0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8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  <font>
      <sz val="10"/>
      <color indexed="8"/>
      <name val="Arial Cyr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7" fillId="0" borderId="0"/>
    <xf numFmtId="0" fontId="8" fillId="0" borderId="0"/>
    <xf numFmtId="49" fontId="25" fillId="0" borderId="9">
      <alignment horizontal="left" vertical="top" wrapText="1" indent="2"/>
    </xf>
  </cellStyleXfs>
  <cellXfs count="203">
    <xf numFmtId="0" fontId="0" fillId="0" borderId="0" xfId="0"/>
    <xf numFmtId="0" fontId="1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4" fillId="0" borderId="0" xfId="2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wrapText="1"/>
    </xf>
    <xf numFmtId="0" fontId="13" fillId="0" borderId="0" xfId="2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11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top" wrapText="1"/>
    </xf>
    <xf numFmtId="4" fontId="10" fillId="0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/>
    <xf numFmtId="0" fontId="5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/>
    <xf numFmtId="4" fontId="3" fillId="3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4" fontId="10" fillId="3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/>
    <xf numFmtId="0" fontId="15" fillId="0" borderId="5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0" fontId="24" fillId="0" borderId="0" xfId="0" applyFont="1" applyFill="1" applyBorder="1"/>
    <xf numFmtId="0" fontId="1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9" fontId="9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left" wrapText="1"/>
    </xf>
    <xf numFmtId="4" fontId="3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/>
    <xf numFmtId="0" fontId="9" fillId="0" borderId="1" xfId="0" applyFont="1" applyFill="1" applyBorder="1"/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center" vertical="top" wrapText="1"/>
    </xf>
    <xf numFmtId="0" fontId="16" fillId="0" borderId="1" xfId="0" applyFont="1" applyFill="1" applyBorder="1"/>
    <xf numFmtId="4" fontId="16" fillId="0" borderId="1" xfId="0" applyNumberFormat="1" applyFont="1" applyFill="1" applyBorder="1"/>
    <xf numFmtId="4" fontId="3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/>
    <xf numFmtId="4" fontId="3" fillId="3" borderId="1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left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</cellXfs>
  <cellStyles count="6">
    <cellStyle name="Excel Built-in Normal" xfId="1"/>
    <cellStyle name="Excel Built-in Normal 2" xfId="2"/>
    <cellStyle name="xl36" xfId="5"/>
    <cellStyle name="Обычный" xfId="0" builtinId="0"/>
    <cellStyle name="Обычный 2" xfId="3"/>
    <cellStyle name="Обычный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79"/>
  <sheetViews>
    <sheetView showGridLines="0" tabSelected="1" view="pageBreakPreview" zoomScale="130" zoomScaleNormal="130" zoomScaleSheetLayoutView="130" workbookViewId="0">
      <pane xSplit="3" ySplit="6" topLeftCell="D111" activePane="bottomRight" state="frozen"/>
      <selection pane="topRight" activeCell="D1" sqref="D1"/>
      <selection pane="bottomLeft" activeCell="A7" sqref="A7"/>
      <selection pane="bottomRight" activeCell="B102" sqref="B102:B114"/>
    </sheetView>
  </sheetViews>
  <sheetFormatPr defaultColWidth="9.109375" defaultRowHeight="13.8" x14ac:dyDescent="0.3"/>
  <cols>
    <col min="1" max="1" width="3.6640625" style="24" customWidth="1"/>
    <col min="2" max="2" width="31.33203125" style="25" customWidth="1"/>
    <col min="3" max="3" width="18" style="25" customWidth="1"/>
    <col min="4" max="4" width="12.109375" style="25" customWidth="1"/>
    <col min="5" max="5" width="7.109375" style="26" customWidth="1"/>
    <col min="6" max="6" width="9.88671875" style="59" customWidth="1"/>
    <col min="7" max="7" width="14.109375" style="23" customWidth="1"/>
    <col min="8" max="8" width="12.6640625" style="23" customWidth="1"/>
    <col min="9" max="9" width="12.33203125" style="23" customWidth="1"/>
    <col min="10" max="10" width="12.5546875" style="23" customWidth="1"/>
    <col min="11" max="11" width="12" style="27" customWidth="1"/>
    <col min="12" max="12" width="12.33203125" style="23" customWidth="1"/>
    <col min="13" max="13" width="12.33203125" style="35" customWidth="1"/>
    <col min="14" max="15" width="14.88671875" style="23" bestFit="1" customWidth="1"/>
    <col min="16" max="16" width="9.109375" style="23"/>
    <col min="17" max="17" width="10.5546875" style="23" customWidth="1"/>
    <col min="18" max="18" width="13.44140625" style="23" bestFit="1" customWidth="1"/>
    <col min="19" max="16384" width="9.109375" style="23"/>
  </cols>
  <sheetData>
    <row r="1" spans="1:16" ht="30.75" customHeight="1" x14ac:dyDescent="0.3">
      <c r="A1" s="189"/>
      <c r="B1" s="189"/>
      <c r="C1" s="101"/>
      <c r="D1" s="100"/>
      <c r="E1" s="4"/>
      <c r="F1" s="52"/>
      <c r="G1" s="91"/>
      <c r="H1" s="190" t="s">
        <v>158</v>
      </c>
      <c r="I1" s="190"/>
      <c r="J1" s="190"/>
      <c r="K1" s="190"/>
      <c r="L1" s="190"/>
      <c r="M1" s="190"/>
      <c r="N1" s="163" t="s">
        <v>175</v>
      </c>
      <c r="O1" s="163"/>
      <c r="P1" s="163"/>
    </row>
    <row r="2" spans="1:16" ht="13.5" customHeight="1" x14ac:dyDescent="0.3">
      <c r="B2" s="23"/>
      <c r="C2" s="100"/>
      <c r="D2" s="100"/>
      <c r="E2" s="4"/>
      <c r="F2" s="52"/>
      <c r="G2" s="91"/>
      <c r="H2" s="135"/>
      <c r="I2" s="135"/>
      <c r="J2" s="135"/>
      <c r="K2" s="135"/>
      <c r="L2" s="135"/>
      <c r="M2" s="155"/>
    </row>
    <row r="3" spans="1:16" ht="12.75" customHeight="1" x14ac:dyDescent="0.3">
      <c r="A3" s="191" t="s">
        <v>157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36"/>
      <c r="N3" s="70"/>
    </row>
    <row r="4" spans="1:16" x14ac:dyDescent="0.3">
      <c r="A4" s="15"/>
      <c r="B4" s="148"/>
      <c r="C4" s="148"/>
      <c r="D4" s="148"/>
      <c r="E4" s="6"/>
      <c r="F4" s="53"/>
      <c r="G4" s="18"/>
      <c r="H4" s="18"/>
      <c r="I4" s="18"/>
      <c r="J4" s="192"/>
      <c r="K4" s="192"/>
      <c r="L4" s="192"/>
      <c r="M4" s="60"/>
      <c r="N4" s="23" t="s">
        <v>168</v>
      </c>
    </row>
    <row r="5" spans="1:16" ht="17.25" customHeight="1" x14ac:dyDescent="0.3">
      <c r="A5" s="193" t="s">
        <v>0</v>
      </c>
      <c r="B5" s="194" t="s">
        <v>97</v>
      </c>
      <c r="C5" s="194" t="s">
        <v>2</v>
      </c>
      <c r="D5" s="194" t="s">
        <v>10</v>
      </c>
      <c r="E5" s="193" t="s">
        <v>95</v>
      </c>
      <c r="F5" s="193"/>
      <c r="G5" s="195" t="s">
        <v>44</v>
      </c>
      <c r="H5" s="196"/>
      <c r="I5" s="196"/>
      <c r="J5" s="196"/>
      <c r="K5" s="196"/>
      <c r="L5" s="196"/>
      <c r="M5" s="197"/>
      <c r="N5" s="23" t="s">
        <v>177</v>
      </c>
    </row>
    <row r="6" spans="1:16" ht="30.6" x14ac:dyDescent="0.3">
      <c r="A6" s="193"/>
      <c r="B6" s="194"/>
      <c r="C6" s="194"/>
      <c r="D6" s="194"/>
      <c r="E6" s="137" t="s">
        <v>94</v>
      </c>
      <c r="F6" s="54" t="s">
        <v>96</v>
      </c>
      <c r="G6" s="137" t="s">
        <v>11</v>
      </c>
      <c r="H6" s="137" t="s">
        <v>3</v>
      </c>
      <c r="I6" s="137" t="s">
        <v>4</v>
      </c>
      <c r="J6" s="137" t="s">
        <v>5</v>
      </c>
      <c r="K6" s="137" t="s">
        <v>58</v>
      </c>
      <c r="L6" s="137" t="s">
        <v>72</v>
      </c>
      <c r="M6" s="137" t="s">
        <v>122</v>
      </c>
      <c r="N6" s="154" t="s">
        <v>178</v>
      </c>
    </row>
    <row r="7" spans="1:16" x14ac:dyDescent="0.3">
      <c r="A7" s="138">
        <v>1</v>
      </c>
      <c r="B7" s="141">
        <v>2</v>
      </c>
      <c r="C7" s="141">
        <v>3</v>
      </c>
      <c r="D7" s="141">
        <v>4</v>
      </c>
      <c r="E7" s="138">
        <v>5</v>
      </c>
      <c r="F7" s="92">
        <v>6</v>
      </c>
      <c r="G7" s="138">
        <v>7</v>
      </c>
      <c r="H7" s="138">
        <v>8</v>
      </c>
      <c r="I7" s="138">
        <v>9</v>
      </c>
      <c r="J7" s="138">
        <v>10</v>
      </c>
      <c r="K7" s="93">
        <v>11</v>
      </c>
      <c r="L7" s="138">
        <v>12</v>
      </c>
      <c r="M7" s="138">
        <v>13</v>
      </c>
      <c r="N7" s="23" t="s">
        <v>134</v>
      </c>
    </row>
    <row r="8" spans="1:16" ht="43.5" customHeight="1" x14ac:dyDescent="0.3">
      <c r="A8" s="187">
        <v>1</v>
      </c>
      <c r="B8" s="159" t="s">
        <v>6</v>
      </c>
      <c r="C8" s="160" t="s">
        <v>155</v>
      </c>
      <c r="D8" s="141" t="s">
        <v>12</v>
      </c>
      <c r="E8" s="137" t="s">
        <v>17</v>
      </c>
      <c r="F8" s="54" t="s">
        <v>100</v>
      </c>
      <c r="G8" s="30">
        <f>H8+I8+J8+K8+L8+M8</f>
        <v>26721109914.039997</v>
      </c>
      <c r="H8" s="30">
        <f>H9+H10+H11</f>
        <v>3791445870.6199999</v>
      </c>
      <c r="I8" s="30">
        <f t="shared" ref="I8:L8" si="0">I9+I10+I11</f>
        <v>4004499715.1599998</v>
      </c>
      <c r="J8" s="30">
        <f t="shared" si="0"/>
        <v>4346529115.75</v>
      </c>
      <c r="K8" s="30">
        <f t="shared" si="0"/>
        <v>4619958555.25</v>
      </c>
      <c r="L8" s="30">
        <f t="shared" si="0"/>
        <v>4832485805.2300005</v>
      </c>
      <c r="M8" s="30">
        <f>M9+M10+M11</f>
        <v>5126190852.0299997</v>
      </c>
      <c r="N8" s="98">
        <f>N9+N10+N11</f>
        <v>4765995751.21</v>
      </c>
      <c r="O8" s="98">
        <f>O9+O10+O11</f>
        <v>5126039852.0299997</v>
      </c>
      <c r="P8" s="70">
        <f>M8-M168</f>
        <v>0</v>
      </c>
    </row>
    <row r="9" spans="1:16" ht="48.75" customHeight="1" x14ac:dyDescent="0.3">
      <c r="A9" s="187"/>
      <c r="B9" s="159"/>
      <c r="C9" s="160"/>
      <c r="D9" s="138" t="s">
        <v>119</v>
      </c>
      <c r="E9" s="137" t="s">
        <v>17</v>
      </c>
      <c r="F9" s="54" t="s">
        <v>17</v>
      </c>
      <c r="G9" s="30">
        <f t="shared" ref="G9:G77" si="1">H9+I9+J9+K9+L9+M9</f>
        <v>196049982.30000001</v>
      </c>
      <c r="H9" s="30">
        <f t="shared" ref="H9:J11" si="2">H13</f>
        <v>0</v>
      </c>
      <c r="I9" s="30">
        <f t="shared" si="2"/>
        <v>0</v>
      </c>
      <c r="J9" s="30">
        <f t="shared" si="2"/>
        <v>0</v>
      </c>
      <c r="K9" s="30">
        <f>K13</f>
        <v>54521844.299999997</v>
      </c>
      <c r="L9" s="30">
        <f t="shared" ref="L9:M11" si="3">L13</f>
        <v>54521844.299999997</v>
      </c>
      <c r="M9" s="30">
        <f t="shared" si="3"/>
        <v>87006293.700000003</v>
      </c>
      <c r="N9" s="98">
        <f>L9-L161</f>
        <v>0</v>
      </c>
      <c r="O9" s="98">
        <f>M9-M161</f>
        <v>87006293.700000003</v>
      </c>
    </row>
    <row r="10" spans="1:16" ht="40.5" customHeight="1" x14ac:dyDescent="0.3">
      <c r="A10" s="187"/>
      <c r="B10" s="159"/>
      <c r="C10" s="160"/>
      <c r="D10" s="141" t="s">
        <v>13</v>
      </c>
      <c r="E10" s="137" t="s">
        <v>17</v>
      </c>
      <c r="F10" s="54" t="s">
        <v>17</v>
      </c>
      <c r="G10" s="30">
        <f t="shared" si="1"/>
        <v>18475576581.860001</v>
      </c>
      <c r="H10" s="30">
        <f t="shared" si="2"/>
        <v>2585595100</v>
      </c>
      <c r="I10" s="30">
        <f t="shared" si="2"/>
        <v>2709636417.4000001</v>
      </c>
      <c r="J10" s="30">
        <f t="shared" si="2"/>
        <v>3001827490</v>
      </c>
      <c r="K10" s="30">
        <f>K14</f>
        <v>3240811342.2399998</v>
      </c>
      <c r="L10" s="30">
        <f t="shared" si="3"/>
        <v>3478657424.0700002</v>
      </c>
      <c r="M10" s="30">
        <f>M14</f>
        <v>3459048808.1500001</v>
      </c>
      <c r="N10" s="98">
        <f>L10-L162</f>
        <v>3472673319.21</v>
      </c>
      <c r="O10" s="98">
        <f>M10-M162</f>
        <v>3459048808.1500001</v>
      </c>
      <c r="P10" s="70">
        <f>M10-M170</f>
        <v>0</v>
      </c>
    </row>
    <row r="11" spans="1:16" ht="43.5" customHeight="1" x14ac:dyDescent="0.3">
      <c r="A11" s="187"/>
      <c r="B11" s="159"/>
      <c r="C11" s="160"/>
      <c r="D11" s="141" t="s">
        <v>146</v>
      </c>
      <c r="E11" s="137" t="s">
        <v>17</v>
      </c>
      <c r="F11" s="54" t="s">
        <v>17</v>
      </c>
      <c r="G11" s="30">
        <f t="shared" si="1"/>
        <v>8049483349.8799992</v>
      </c>
      <c r="H11" s="30">
        <f>H15</f>
        <v>1205850770.6199999</v>
      </c>
      <c r="I11" s="30">
        <f t="shared" si="2"/>
        <v>1294863297.7599998</v>
      </c>
      <c r="J11" s="30">
        <f t="shared" si="2"/>
        <v>1344701625.75</v>
      </c>
      <c r="K11" s="30">
        <f>K15</f>
        <v>1324625368.7099998</v>
      </c>
      <c r="L11" s="30">
        <f t="shared" si="3"/>
        <v>1299306536.8599999</v>
      </c>
      <c r="M11" s="30">
        <f>M15</f>
        <v>1580135750.1800001</v>
      </c>
      <c r="N11" s="98">
        <f>L11-L66-L147-L163</f>
        <v>1293322432</v>
      </c>
      <c r="O11" s="98">
        <f>M11-M66-M147-M163</f>
        <v>1579984750.1800001</v>
      </c>
      <c r="P11" s="70">
        <f>M11-M171</f>
        <v>0</v>
      </c>
    </row>
    <row r="12" spans="1:16" ht="27.75" customHeight="1" x14ac:dyDescent="0.3">
      <c r="A12" s="187">
        <v>2</v>
      </c>
      <c r="B12" s="160" t="s">
        <v>51</v>
      </c>
      <c r="C12" s="160" t="s">
        <v>127</v>
      </c>
      <c r="D12" s="141" t="s">
        <v>12</v>
      </c>
      <c r="E12" s="137" t="s">
        <v>17</v>
      </c>
      <c r="F12" s="54" t="s">
        <v>17</v>
      </c>
      <c r="G12" s="30">
        <f t="shared" si="1"/>
        <v>26721109914.039997</v>
      </c>
      <c r="H12" s="30">
        <f>H13+H14+H15</f>
        <v>3791445870.6199999</v>
      </c>
      <c r="I12" s="30">
        <f t="shared" ref="I12:L12" si="4">I13+I14+I15</f>
        <v>4004499715.1599998</v>
      </c>
      <c r="J12" s="30">
        <f t="shared" si="4"/>
        <v>4346529115.75</v>
      </c>
      <c r="K12" s="30">
        <f t="shared" si="4"/>
        <v>4619958555.25</v>
      </c>
      <c r="L12" s="30">
        <f t="shared" si="4"/>
        <v>4832485805.2300005</v>
      </c>
      <c r="M12" s="30">
        <f>M13+M14+M15</f>
        <v>5126190852.0299997</v>
      </c>
      <c r="N12" s="99" t="s">
        <v>72</v>
      </c>
      <c r="O12" s="99" t="s">
        <v>122</v>
      </c>
    </row>
    <row r="13" spans="1:16" ht="48" customHeight="1" x14ac:dyDescent="0.3">
      <c r="A13" s="187"/>
      <c r="B13" s="160"/>
      <c r="C13" s="160"/>
      <c r="D13" s="138" t="s">
        <v>119</v>
      </c>
      <c r="E13" s="137" t="s">
        <v>17</v>
      </c>
      <c r="F13" s="54" t="s">
        <v>17</v>
      </c>
      <c r="G13" s="30">
        <f t="shared" si="1"/>
        <v>196049982.30000001</v>
      </c>
      <c r="H13" s="30">
        <f>H33</f>
        <v>0</v>
      </c>
      <c r="I13" s="30">
        <f t="shared" ref="I13:J13" si="5">I33</f>
        <v>0</v>
      </c>
      <c r="J13" s="30">
        <f t="shared" si="5"/>
        <v>0</v>
      </c>
      <c r="K13" s="30">
        <f>K33</f>
        <v>54521844.299999997</v>
      </c>
      <c r="L13" s="30">
        <f t="shared" ref="L13:M13" si="6">L33</f>
        <v>54521844.299999997</v>
      </c>
      <c r="M13" s="30">
        <f t="shared" si="6"/>
        <v>87006293.700000003</v>
      </c>
    </row>
    <row r="14" spans="1:16" ht="45.75" customHeight="1" x14ac:dyDescent="0.3">
      <c r="A14" s="187"/>
      <c r="B14" s="160"/>
      <c r="C14" s="160"/>
      <c r="D14" s="141" t="s">
        <v>13</v>
      </c>
      <c r="E14" s="137" t="s">
        <v>17</v>
      </c>
      <c r="F14" s="54" t="s">
        <v>17</v>
      </c>
      <c r="G14" s="30">
        <f t="shared" si="1"/>
        <v>18475576581.860001</v>
      </c>
      <c r="H14" s="30">
        <f>H21+H34</f>
        <v>2585595100</v>
      </c>
      <c r="I14" s="30">
        <f>I21+I24+I34</f>
        <v>2709636417.4000001</v>
      </c>
      <c r="J14" s="30">
        <f>J21+J24+J34</f>
        <v>3001827490</v>
      </c>
      <c r="K14" s="30">
        <f>K21+K24+K34</f>
        <v>3240811342.2399998</v>
      </c>
      <c r="L14" s="30">
        <f>L21+L24+L29+L34</f>
        <v>3478657424.0700002</v>
      </c>
      <c r="M14" s="30">
        <f>M21+M24+M34</f>
        <v>3459048808.1500001</v>
      </c>
    </row>
    <row r="15" spans="1:16" ht="54.75" customHeight="1" x14ac:dyDescent="0.3">
      <c r="A15" s="187"/>
      <c r="B15" s="160"/>
      <c r="C15" s="160"/>
      <c r="D15" s="141" t="s">
        <v>146</v>
      </c>
      <c r="E15" s="137" t="s">
        <v>17</v>
      </c>
      <c r="F15" s="54" t="s">
        <v>17</v>
      </c>
      <c r="G15" s="30">
        <f t="shared" si="1"/>
        <v>8049483349.8799992</v>
      </c>
      <c r="H15" s="30">
        <f>H17+H22+H25+H26+H28+H31+H35</f>
        <v>1205850770.6199999</v>
      </c>
      <c r="I15" s="30">
        <f>I17+I22+I25+I26+I28+I31+I35</f>
        <v>1294863297.7599998</v>
      </c>
      <c r="J15" s="30">
        <f>J17+J22+J25+J26+J28+J31+J35</f>
        <v>1344701625.75</v>
      </c>
      <c r="K15" s="30">
        <f>K17+K22+K25+K26+K28+K31+K35</f>
        <v>1324625368.7099998</v>
      </c>
      <c r="L15" s="30">
        <f>L17+L22+L25+L26+L30+L31+L35</f>
        <v>1299306536.8599999</v>
      </c>
      <c r="M15" s="30">
        <f>M17+M22+M25+M26+M28+M31+M35</f>
        <v>1580135750.1800001</v>
      </c>
    </row>
    <row r="16" spans="1:16" ht="12.75" customHeight="1" x14ac:dyDescent="0.3">
      <c r="A16" s="187">
        <v>3</v>
      </c>
      <c r="B16" s="160" t="s">
        <v>132</v>
      </c>
      <c r="C16" s="188" t="s">
        <v>62</v>
      </c>
      <c r="D16" s="141" t="s">
        <v>1</v>
      </c>
      <c r="E16" s="137">
        <v>741</v>
      </c>
      <c r="F16" s="54" t="s">
        <v>99</v>
      </c>
      <c r="G16" s="30">
        <f t="shared" si="1"/>
        <v>347002173.34000003</v>
      </c>
      <c r="H16" s="30">
        <f>H17</f>
        <v>57929000</v>
      </c>
      <c r="I16" s="30">
        <f t="shared" ref="I16:M17" si="7">I17</f>
        <v>52824000</v>
      </c>
      <c r="J16" s="30">
        <f t="shared" si="7"/>
        <v>55477492</v>
      </c>
      <c r="K16" s="30">
        <f t="shared" si="7"/>
        <v>56567177.340000004</v>
      </c>
      <c r="L16" s="30">
        <f t="shared" si="7"/>
        <v>61727252</v>
      </c>
      <c r="M16" s="30">
        <f t="shared" si="7"/>
        <v>62477252</v>
      </c>
    </row>
    <row r="17" spans="1:13" ht="30.6" x14ac:dyDescent="0.3">
      <c r="A17" s="187"/>
      <c r="B17" s="160"/>
      <c r="C17" s="188"/>
      <c r="D17" s="141" t="s">
        <v>146</v>
      </c>
      <c r="E17" s="137">
        <v>741</v>
      </c>
      <c r="F17" s="54" t="s">
        <v>99</v>
      </c>
      <c r="G17" s="30">
        <f t="shared" si="1"/>
        <v>347002173.34000003</v>
      </c>
      <c r="H17" s="30">
        <f>H18</f>
        <v>57929000</v>
      </c>
      <c r="I17" s="30">
        <f t="shared" si="7"/>
        <v>52824000</v>
      </c>
      <c r="J17" s="30">
        <f t="shared" si="7"/>
        <v>55477492</v>
      </c>
      <c r="K17" s="30">
        <f>K18+K19</f>
        <v>56567177.340000004</v>
      </c>
      <c r="L17" s="30">
        <f t="shared" ref="L17" si="8">L18+L19</f>
        <v>61727252</v>
      </c>
      <c r="M17" s="30">
        <f>M18+M19</f>
        <v>62477252</v>
      </c>
    </row>
    <row r="18" spans="1:13" ht="51" x14ac:dyDescent="0.3">
      <c r="A18" s="138">
        <v>4</v>
      </c>
      <c r="B18" s="140" t="s">
        <v>47</v>
      </c>
      <c r="C18" s="141" t="s">
        <v>62</v>
      </c>
      <c r="D18" s="141" t="s">
        <v>146</v>
      </c>
      <c r="E18" s="137">
        <v>741</v>
      </c>
      <c r="F18" s="54" t="s">
        <v>99</v>
      </c>
      <c r="G18" s="30">
        <f t="shared" si="1"/>
        <v>347002173.34000003</v>
      </c>
      <c r="H18" s="30">
        <f>62814600+100000-3150000-1835600</f>
        <v>57929000</v>
      </c>
      <c r="I18" s="30">
        <f>58532200-603200-605000-4500000</f>
        <v>52824000</v>
      </c>
      <c r="J18" s="30">
        <f>62873811.6-4084338.6+1711019-3523000-1500000</f>
        <v>55477492</v>
      </c>
      <c r="K18" s="30">
        <v>56567177.340000004</v>
      </c>
      <c r="L18" s="30">
        <v>61727252</v>
      </c>
      <c r="M18" s="30">
        <v>62477252</v>
      </c>
    </row>
    <row r="19" spans="1:13" ht="30.6" x14ac:dyDescent="0.3">
      <c r="A19" s="138">
        <v>5</v>
      </c>
      <c r="B19" s="140" t="s">
        <v>54</v>
      </c>
      <c r="C19" s="141" t="s">
        <v>62</v>
      </c>
      <c r="D19" s="141" t="s">
        <v>43</v>
      </c>
      <c r="E19" s="137">
        <v>741</v>
      </c>
      <c r="F19" s="54" t="s">
        <v>17</v>
      </c>
      <c r="G19" s="30">
        <f t="shared" si="1"/>
        <v>0</v>
      </c>
      <c r="H19" s="30">
        <v>0</v>
      </c>
      <c r="I19" s="30">
        <v>0</v>
      </c>
      <c r="J19" s="30">
        <v>0</v>
      </c>
      <c r="K19" s="31">
        <v>0</v>
      </c>
      <c r="L19" s="31">
        <v>0</v>
      </c>
      <c r="M19" s="97">
        <v>0</v>
      </c>
    </row>
    <row r="20" spans="1:13" ht="12.75" customHeight="1" x14ac:dyDescent="0.3">
      <c r="A20" s="187">
        <v>6</v>
      </c>
      <c r="B20" s="160" t="s">
        <v>52</v>
      </c>
      <c r="C20" s="160" t="s">
        <v>62</v>
      </c>
      <c r="D20" s="141" t="s">
        <v>12</v>
      </c>
      <c r="E20" s="137">
        <v>741</v>
      </c>
      <c r="F20" s="54" t="s">
        <v>17</v>
      </c>
      <c r="G20" s="30">
        <f t="shared" si="1"/>
        <v>25162494013.779999</v>
      </c>
      <c r="H20" s="30">
        <f t="shared" ref="H20:M20" si="9">H21+H22</f>
        <v>3594784509.6199999</v>
      </c>
      <c r="I20" s="30">
        <f t="shared" si="9"/>
        <v>3777859702.8999996</v>
      </c>
      <c r="J20" s="30">
        <f t="shared" si="9"/>
        <v>4193063807.1999998</v>
      </c>
      <c r="K20" s="30">
        <f t="shared" si="9"/>
        <v>4423664091.8800001</v>
      </c>
      <c r="L20" s="30">
        <f t="shared" si="9"/>
        <v>4555351652.5</v>
      </c>
      <c r="M20" s="30">
        <f t="shared" si="9"/>
        <v>4617770249.6800003</v>
      </c>
    </row>
    <row r="21" spans="1:13" x14ac:dyDescent="0.3">
      <c r="A21" s="187"/>
      <c r="B21" s="160"/>
      <c r="C21" s="160"/>
      <c r="D21" s="141" t="s">
        <v>13</v>
      </c>
      <c r="E21" s="137">
        <v>741</v>
      </c>
      <c r="F21" s="54" t="s">
        <v>17</v>
      </c>
      <c r="G21" s="30">
        <f t="shared" si="1"/>
        <v>18390408473.059998</v>
      </c>
      <c r="H21" s="30">
        <f>H40</f>
        <v>2585595100</v>
      </c>
      <c r="I21" s="30">
        <f t="shared" ref="I21:J22" si="10">I40</f>
        <v>2699752800</v>
      </c>
      <c r="J21" s="30">
        <f t="shared" si="10"/>
        <v>3001827490</v>
      </c>
      <c r="K21" s="30">
        <f>K37</f>
        <v>3229508033.0599999</v>
      </c>
      <c r="L21" s="30">
        <f t="shared" ref="L21:M22" si="11">L37</f>
        <v>3416021700</v>
      </c>
      <c r="M21" s="30">
        <f t="shared" si="11"/>
        <v>3457703350</v>
      </c>
    </row>
    <row r="22" spans="1:13" ht="30.6" x14ac:dyDescent="0.3">
      <c r="A22" s="187"/>
      <c r="B22" s="160"/>
      <c r="C22" s="160"/>
      <c r="D22" s="141" t="s">
        <v>146</v>
      </c>
      <c r="E22" s="137">
        <v>741</v>
      </c>
      <c r="F22" s="54" t="s">
        <v>17</v>
      </c>
      <c r="G22" s="30">
        <f t="shared" si="1"/>
        <v>6772085540.7200003</v>
      </c>
      <c r="H22" s="30">
        <f>H41</f>
        <v>1009189409.62</v>
      </c>
      <c r="I22" s="30">
        <f t="shared" si="10"/>
        <v>1078106902.8999999</v>
      </c>
      <c r="J22" s="30">
        <f t="shared" si="10"/>
        <v>1191236317.2</v>
      </c>
      <c r="K22" s="30">
        <f>K38</f>
        <v>1194156058.8199999</v>
      </c>
      <c r="L22" s="30">
        <f t="shared" si="11"/>
        <v>1139329952.5</v>
      </c>
      <c r="M22" s="30">
        <f>M38</f>
        <v>1160066899.6800001</v>
      </c>
    </row>
    <row r="23" spans="1:13" ht="39" customHeight="1" x14ac:dyDescent="0.3">
      <c r="A23" s="173">
        <v>7</v>
      </c>
      <c r="B23" s="184" t="s">
        <v>73</v>
      </c>
      <c r="C23" s="167" t="s">
        <v>128</v>
      </c>
      <c r="D23" s="141" t="s">
        <v>12</v>
      </c>
      <c r="E23" s="137" t="s">
        <v>17</v>
      </c>
      <c r="F23" s="54" t="s">
        <v>17</v>
      </c>
      <c r="G23" s="30">
        <f t="shared" si="1"/>
        <v>338953964.60000002</v>
      </c>
      <c r="H23" s="30">
        <f>H24+H25</f>
        <v>42401900</v>
      </c>
      <c r="I23" s="30">
        <f t="shared" ref="I23:M23" si="12">I24+I25</f>
        <v>62724066.529999994</v>
      </c>
      <c r="J23" s="30">
        <f t="shared" si="12"/>
        <v>83285518.75</v>
      </c>
      <c r="K23" s="30">
        <f t="shared" si="12"/>
        <v>60687648.75</v>
      </c>
      <c r="L23" s="30">
        <f t="shared" si="12"/>
        <v>47191869.57</v>
      </c>
      <c r="M23" s="30">
        <f t="shared" si="12"/>
        <v>42662961</v>
      </c>
    </row>
    <row r="24" spans="1:13" x14ac:dyDescent="0.3">
      <c r="A24" s="174"/>
      <c r="B24" s="185"/>
      <c r="C24" s="168"/>
      <c r="D24" s="141" t="s">
        <v>13</v>
      </c>
      <c r="E24" s="137" t="s">
        <v>17</v>
      </c>
      <c r="F24" s="54" t="s">
        <v>17</v>
      </c>
      <c r="G24" s="30">
        <f t="shared" si="1"/>
        <v>9883617.4000000004</v>
      </c>
      <c r="H24" s="30">
        <f>H60</f>
        <v>0</v>
      </c>
      <c r="I24" s="30">
        <f t="shared" ref="I24:J24" si="13">I60</f>
        <v>9883617.4000000004</v>
      </c>
      <c r="J24" s="30">
        <f t="shared" si="13"/>
        <v>0</v>
      </c>
      <c r="K24" s="30">
        <f>K57</f>
        <v>0</v>
      </c>
      <c r="L24" s="30">
        <f t="shared" ref="L24:M25" si="14">L57</f>
        <v>0</v>
      </c>
      <c r="M24" s="30">
        <f t="shared" si="14"/>
        <v>0</v>
      </c>
    </row>
    <row r="25" spans="1:13" ht="45" customHeight="1" x14ac:dyDescent="0.3">
      <c r="A25" s="175"/>
      <c r="B25" s="186"/>
      <c r="C25" s="169"/>
      <c r="D25" s="141" t="s">
        <v>146</v>
      </c>
      <c r="E25" s="137" t="s">
        <v>17</v>
      </c>
      <c r="F25" s="54" t="s">
        <v>17</v>
      </c>
      <c r="G25" s="30">
        <f t="shared" si="1"/>
        <v>329070347.19999999</v>
      </c>
      <c r="H25" s="30">
        <f t="shared" ref="H25:J25" si="15">H58</f>
        <v>42401900</v>
      </c>
      <c r="I25" s="30">
        <f t="shared" si="15"/>
        <v>52840449.129999995</v>
      </c>
      <c r="J25" s="30">
        <f t="shared" si="15"/>
        <v>83285518.75</v>
      </c>
      <c r="K25" s="30">
        <f>K58</f>
        <v>60687648.75</v>
      </c>
      <c r="L25" s="30">
        <f t="shared" si="14"/>
        <v>47191869.57</v>
      </c>
      <c r="M25" s="30">
        <f>M58</f>
        <v>42662961</v>
      </c>
    </row>
    <row r="26" spans="1:13" ht="51" x14ac:dyDescent="0.3">
      <c r="A26" s="138">
        <v>8</v>
      </c>
      <c r="B26" s="19" t="s">
        <v>74</v>
      </c>
      <c r="C26" s="140" t="s">
        <v>65</v>
      </c>
      <c r="D26" s="141" t="s">
        <v>146</v>
      </c>
      <c r="E26" s="137">
        <v>737</v>
      </c>
      <c r="F26" s="54" t="s">
        <v>17</v>
      </c>
      <c r="G26" s="30">
        <f t="shared" si="1"/>
        <v>180182951.73000002</v>
      </c>
      <c r="H26" s="30">
        <f t="shared" ref="H26:M26" si="16">H76</f>
        <v>83250981</v>
      </c>
      <c r="I26" s="30">
        <f t="shared" si="16"/>
        <v>96931970.730000004</v>
      </c>
      <c r="J26" s="30">
        <f t="shared" si="16"/>
        <v>0</v>
      </c>
      <c r="K26" s="30">
        <f t="shared" si="16"/>
        <v>0</v>
      </c>
      <c r="L26" s="30">
        <f t="shared" si="16"/>
        <v>0</v>
      </c>
      <c r="M26" s="30">
        <f t="shared" si="16"/>
        <v>0</v>
      </c>
    </row>
    <row r="27" spans="1:13" ht="30.6" x14ac:dyDescent="0.3">
      <c r="A27" s="138">
        <v>9</v>
      </c>
      <c r="B27" s="140" t="s">
        <v>154</v>
      </c>
      <c r="C27" s="140" t="s">
        <v>62</v>
      </c>
      <c r="D27" s="141" t="s">
        <v>43</v>
      </c>
      <c r="E27" s="137">
        <v>741</v>
      </c>
      <c r="F27" s="54" t="s">
        <v>17</v>
      </c>
      <c r="G27" s="30">
        <f t="shared" si="1"/>
        <v>0</v>
      </c>
      <c r="H27" s="30">
        <f>H87</f>
        <v>0</v>
      </c>
      <c r="I27" s="30">
        <f t="shared" ref="I27:J27" si="17">I87</f>
        <v>0</v>
      </c>
      <c r="J27" s="30">
        <f t="shared" si="17"/>
        <v>0</v>
      </c>
      <c r="K27" s="30">
        <f>K87</f>
        <v>0</v>
      </c>
      <c r="L27" s="30">
        <f t="shared" ref="L27:M27" si="18">L87</f>
        <v>0</v>
      </c>
      <c r="M27" s="30">
        <f t="shared" si="18"/>
        <v>0</v>
      </c>
    </row>
    <row r="28" spans="1:13" ht="25.5" customHeight="1" x14ac:dyDescent="0.3">
      <c r="A28" s="173">
        <v>10</v>
      </c>
      <c r="B28" s="167" t="s">
        <v>76</v>
      </c>
      <c r="C28" s="167" t="s">
        <v>62</v>
      </c>
      <c r="D28" s="141" t="s">
        <v>1</v>
      </c>
      <c r="E28" s="137">
        <v>741</v>
      </c>
      <c r="F28" s="54" t="s">
        <v>17</v>
      </c>
      <c r="G28" s="30">
        <f t="shared" si="1"/>
        <v>413879264.92999995</v>
      </c>
      <c r="H28" s="30">
        <f t="shared" ref="H28:K28" si="19">H29+H30</f>
        <v>1765980</v>
      </c>
      <c r="I28" s="30">
        <f t="shared" si="19"/>
        <v>1934430</v>
      </c>
      <c r="J28" s="30">
        <f t="shared" si="19"/>
        <v>2114330</v>
      </c>
      <c r="K28" s="30">
        <f t="shared" si="19"/>
        <v>0</v>
      </c>
      <c r="L28" s="30">
        <f>L29+L30</f>
        <v>101229681.64</v>
      </c>
      <c r="M28" s="30">
        <f>M29+M30</f>
        <v>306834843.28999996</v>
      </c>
    </row>
    <row r="29" spans="1:13" x14ac:dyDescent="0.3">
      <c r="A29" s="174"/>
      <c r="B29" s="168"/>
      <c r="C29" s="168"/>
      <c r="D29" s="141" t="s">
        <v>13</v>
      </c>
      <c r="E29" s="137">
        <v>741</v>
      </c>
      <c r="F29" s="54" t="s">
        <v>17</v>
      </c>
      <c r="G29" s="30">
        <f t="shared" si="1"/>
        <v>325352056.23999995</v>
      </c>
      <c r="H29" s="30">
        <f>H85</f>
        <v>0</v>
      </c>
      <c r="I29" s="30">
        <f t="shared" ref="I29:M30" si="20">I85</f>
        <v>0</v>
      </c>
      <c r="J29" s="30">
        <f t="shared" si="20"/>
        <v>0</v>
      </c>
      <c r="K29" s="30">
        <f t="shared" si="20"/>
        <v>0</v>
      </c>
      <c r="L29" s="30">
        <f t="shared" si="20"/>
        <v>56651619.210000001</v>
      </c>
      <c r="M29" s="30">
        <f t="shared" si="20"/>
        <v>268700437.02999997</v>
      </c>
    </row>
    <row r="30" spans="1:13" ht="42.75" customHeight="1" x14ac:dyDescent="0.3">
      <c r="A30" s="175"/>
      <c r="B30" s="169"/>
      <c r="C30" s="169"/>
      <c r="D30" s="141" t="s">
        <v>146</v>
      </c>
      <c r="E30" s="137">
        <v>741</v>
      </c>
      <c r="F30" s="54" t="s">
        <v>17</v>
      </c>
      <c r="G30" s="30">
        <f t="shared" si="1"/>
        <v>88527208.689999998</v>
      </c>
      <c r="H30" s="30">
        <f>H86</f>
        <v>1765980</v>
      </c>
      <c r="I30" s="30">
        <f t="shared" si="20"/>
        <v>1934430</v>
      </c>
      <c r="J30" s="30">
        <f t="shared" si="20"/>
        <v>2114330</v>
      </c>
      <c r="K30" s="30">
        <f t="shared" si="20"/>
        <v>0</v>
      </c>
      <c r="L30" s="30">
        <f t="shared" si="20"/>
        <v>44578062.43</v>
      </c>
      <c r="M30" s="30">
        <f>M86</f>
        <v>38134406.259999998</v>
      </c>
    </row>
    <row r="31" spans="1:13" ht="72.75" customHeight="1" x14ac:dyDescent="0.3">
      <c r="A31" s="138">
        <v>11</v>
      </c>
      <c r="B31" s="140" t="s">
        <v>77</v>
      </c>
      <c r="C31" s="140" t="s">
        <v>156</v>
      </c>
      <c r="D31" s="141" t="s">
        <v>146</v>
      </c>
      <c r="E31" s="137" t="s">
        <v>17</v>
      </c>
      <c r="F31" s="54" t="s">
        <v>17</v>
      </c>
      <c r="G31" s="30">
        <f t="shared" si="1"/>
        <v>55920227.619999997</v>
      </c>
      <c r="H31" s="30">
        <f>H116</f>
        <v>11313500</v>
      </c>
      <c r="I31" s="30">
        <f>I116+I132</f>
        <v>12225545</v>
      </c>
      <c r="J31" s="30">
        <f t="shared" ref="J31" si="21">J116+J132</f>
        <v>12587967.800000001</v>
      </c>
      <c r="K31" s="30">
        <f>K116+K132</f>
        <v>12549583.26</v>
      </c>
      <c r="L31" s="30">
        <f t="shared" ref="L31:M31" si="22">L116+L132</f>
        <v>495295.5</v>
      </c>
      <c r="M31" s="30">
        <f t="shared" si="22"/>
        <v>6748336.0599999996</v>
      </c>
    </row>
    <row r="32" spans="1:13" ht="15.75" customHeight="1" x14ac:dyDescent="0.3">
      <c r="A32" s="173">
        <v>12</v>
      </c>
      <c r="B32" s="167" t="s">
        <v>120</v>
      </c>
      <c r="C32" s="167" t="s">
        <v>118</v>
      </c>
      <c r="D32" s="138" t="s">
        <v>1</v>
      </c>
      <c r="E32" s="137">
        <v>706</v>
      </c>
      <c r="F32" s="54" t="s">
        <v>17</v>
      </c>
      <c r="G32" s="30">
        <f t="shared" si="1"/>
        <v>222677318.04000002</v>
      </c>
      <c r="H32" s="30">
        <f>H33+H34+H35</f>
        <v>0</v>
      </c>
      <c r="I32" s="30">
        <f t="shared" ref="I32:M32" si="23">I33+I34+I35</f>
        <v>0</v>
      </c>
      <c r="J32" s="30">
        <f t="shared" si="23"/>
        <v>0</v>
      </c>
      <c r="K32" s="30">
        <f t="shared" si="23"/>
        <v>66490054.019999996</v>
      </c>
      <c r="L32" s="30">
        <f t="shared" si="23"/>
        <v>66490054.019999996</v>
      </c>
      <c r="M32" s="30">
        <f t="shared" si="23"/>
        <v>89697210.000000015</v>
      </c>
    </row>
    <row r="33" spans="1:15" ht="22.5" customHeight="1" x14ac:dyDescent="0.3">
      <c r="A33" s="174"/>
      <c r="B33" s="168"/>
      <c r="C33" s="168"/>
      <c r="D33" s="138" t="s">
        <v>119</v>
      </c>
      <c r="E33" s="137">
        <v>706</v>
      </c>
      <c r="F33" s="54" t="s">
        <v>17</v>
      </c>
      <c r="G33" s="30">
        <f t="shared" si="1"/>
        <v>196049982.30000001</v>
      </c>
      <c r="H33" s="30">
        <f>H149</f>
        <v>0</v>
      </c>
      <c r="I33" s="30">
        <f t="shared" ref="I33:J35" si="24">I149</f>
        <v>0</v>
      </c>
      <c r="J33" s="30">
        <f t="shared" si="24"/>
        <v>0</v>
      </c>
      <c r="K33" s="30">
        <f>K149</f>
        <v>54521844.299999997</v>
      </c>
      <c r="L33" s="30">
        <f t="shared" ref="L33:M35" si="25">L149</f>
        <v>54521844.299999997</v>
      </c>
      <c r="M33" s="30">
        <f t="shared" si="25"/>
        <v>87006293.700000003</v>
      </c>
    </row>
    <row r="34" spans="1:15" ht="15.75" customHeight="1" x14ac:dyDescent="0.3">
      <c r="A34" s="174"/>
      <c r="B34" s="168"/>
      <c r="C34" s="168"/>
      <c r="D34" s="138" t="s">
        <v>13</v>
      </c>
      <c r="E34" s="137">
        <v>706</v>
      </c>
      <c r="F34" s="54" t="s">
        <v>17</v>
      </c>
      <c r="G34" s="30">
        <f t="shared" si="1"/>
        <v>18632872.189999998</v>
      </c>
      <c r="H34" s="30">
        <f>H150</f>
        <v>0</v>
      </c>
      <c r="I34" s="30">
        <f t="shared" si="24"/>
        <v>0</v>
      </c>
      <c r="J34" s="30">
        <f t="shared" si="24"/>
        <v>0</v>
      </c>
      <c r="K34" s="30">
        <f>K150</f>
        <v>11303309.18</v>
      </c>
      <c r="L34" s="30">
        <f t="shared" si="25"/>
        <v>5984104.8600000003</v>
      </c>
      <c r="M34" s="30">
        <f t="shared" si="25"/>
        <v>1345458.15</v>
      </c>
    </row>
    <row r="35" spans="1:15" ht="30.6" x14ac:dyDescent="0.3">
      <c r="A35" s="175"/>
      <c r="B35" s="169"/>
      <c r="C35" s="169"/>
      <c r="D35" s="138" t="s">
        <v>146</v>
      </c>
      <c r="E35" s="137">
        <v>706</v>
      </c>
      <c r="F35" s="54" t="s">
        <v>17</v>
      </c>
      <c r="G35" s="30">
        <f t="shared" si="1"/>
        <v>7994463.5500000007</v>
      </c>
      <c r="H35" s="30">
        <f>H151</f>
        <v>0</v>
      </c>
      <c r="I35" s="30">
        <f t="shared" si="24"/>
        <v>0</v>
      </c>
      <c r="J35" s="30">
        <f t="shared" si="24"/>
        <v>0</v>
      </c>
      <c r="K35" s="30">
        <f>K151</f>
        <v>664900.54</v>
      </c>
      <c r="L35" s="30">
        <f t="shared" si="25"/>
        <v>5984104.8600000003</v>
      </c>
      <c r="M35" s="30">
        <f t="shared" si="25"/>
        <v>1345458.15</v>
      </c>
    </row>
    <row r="36" spans="1:15" ht="12.75" customHeight="1" x14ac:dyDescent="0.3">
      <c r="A36" s="187">
        <v>13</v>
      </c>
      <c r="B36" s="159" t="s">
        <v>14</v>
      </c>
      <c r="C36" s="160" t="s">
        <v>62</v>
      </c>
      <c r="D36" s="141" t="s">
        <v>1</v>
      </c>
      <c r="E36" s="137">
        <v>741</v>
      </c>
      <c r="F36" s="54" t="s">
        <v>101</v>
      </c>
      <c r="G36" s="30">
        <f t="shared" si="1"/>
        <v>25162494013.779999</v>
      </c>
      <c r="H36" s="30">
        <f t="shared" ref="H36:M36" si="26">H37+H38</f>
        <v>3594784509.6199999</v>
      </c>
      <c r="I36" s="30">
        <f t="shared" si="26"/>
        <v>3777859702.8999996</v>
      </c>
      <c r="J36" s="30">
        <f t="shared" si="26"/>
        <v>4193063807.1999998</v>
      </c>
      <c r="K36" s="30">
        <f t="shared" si="26"/>
        <v>4423664091.8800001</v>
      </c>
      <c r="L36" s="30">
        <f t="shared" si="26"/>
        <v>4555351652.5</v>
      </c>
      <c r="M36" s="30">
        <f t="shared" si="26"/>
        <v>4617770249.6800003</v>
      </c>
    </row>
    <row r="37" spans="1:15" x14ac:dyDescent="0.3">
      <c r="A37" s="187"/>
      <c r="B37" s="159"/>
      <c r="C37" s="160"/>
      <c r="D37" s="141" t="s">
        <v>13</v>
      </c>
      <c r="E37" s="137">
        <v>741</v>
      </c>
      <c r="F37" s="54" t="s">
        <v>101</v>
      </c>
      <c r="G37" s="30">
        <f t="shared" si="1"/>
        <v>18390408473.059998</v>
      </c>
      <c r="H37" s="30">
        <f t="shared" ref="H37:M38" si="27">H40</f>
        <v>2585595100</v>
      </c>
      <c r="I37" s="30">
        <f t="shared" si="27"/>
        <v>2699752800</v>
      </c>
      <c r="J37" s="30">
        <f t="shared" si="27"/>
        <v>3001827490</v>
      </c>
      <c r="K37" s="30">
        <f>K40</f>
        <v>3229508033.0599999</v>
      </c>
      <c r="L37" s="30">
        <f t="shared" si="27"/>
        <v>3416021700</v>
      </c>
      <c r="M37" s="30">
        <f t="shared" si="27"/>
        <v>3457703350</v>
      </c>
    </row>
    <row r="38" spans="1:15" ht="30.6" x14ac:dyDescent="0.3">
      <c r="A38" s="187"/>
      <c r="B38" s="159"/>
      <c r="C38" s="160"/>
      <c r="D38" s="141" t="s">
        <v>146</v>
      </c>
      <c r="E38" s="137">
        <v>741</v>
      </c>
      <c r="F38" s="54" t="s">
        <v>101</v>
      </c>
      <c r="G38" s="30">
        <f t="shared" si="1"/>
        <v>6772085540.7200003</v>
      </c>
      <c r="H38" s="30">
        <f t="shared" si="27"/>
        <v>1009189409.62</v>
      </c>
      <c r="I38" s="30">
        <f t="shared" si="27"/>
        <v>1078106902.8999999</v>
      </c>
      <c r="J38" s="30">
        <f t="shared" si="27"/>
        <v>1191236317.2</v>
      </c>
      <c r="K38" s="30">
        <f>K41</f>
        <v>1194156058.8199999</v>
      </c>
      <c r="L38" s="30">
        <f t="shared" si="27"/>
        <v>1139329952.5</v>
      </c>
      <c r="M38" s="30">
        <f>M41</f>
        <v>1160066899.6800001</v>
      </c>
    </row>
    <row r="39" spans="1:15" ht="12.75" customHeight="1" x14ac:dyDescent="0.3">
      <c r="A39" s="187">
        <v>14</v>
      </c>
      <c r="B39" s="160" t="s">
        <v>140</v>
      </c>
      <c r="C39" s="160" t="s">
        <v>62</v>
      </c>
      <c r="D39" s="141" t="s">
        <v>1</v>
      </c>
      <c r="E39" s="137">
        <v>741</v>
      </c>
      <c r="F39" s="54" t="s">
        <v>17</v>
      </c>
      <c r="G39" s="30">
        <f t="shared" si="1"/>
        <v>25162494013.779999</v>
      </c>
      <c r="H39" s="30">
        <f t="shared" ref="H39:M39" si="28">H40+H41</f>
        <v>3594784509.6199999</v>
      </c>
      <c r="I39" s="30">
        <f t="shared" si="28"/>
        <v>3777859702.8999996</v>
      </c>
      <c r="J39" s="30">
        <f t="shared" si="28"/>
        <v>4193063807.1999998</v>
      </c>
      <c r="K39" s="30">
        <f t="shared" si="28"/>
        <v>4423664091.8800001</v>
      </c>
      <c r="L39" s="30">
        <f t="shared" si="28"/>
        <v>4555351652.5</v>
      </c>
      <c r="M39" s="30">
        <f t="shared" si="28"/>
        <v>4617770249.6800003</v>
      </c>
    </row>
    <row r="40" spans="1:15" x14ac:dyDescent="0.3">
      <c r="A40" s="187"/>
      <c r="B40" s="160"/>
      <c r="C40" s="160"/>
      <c r="D40" s="141" t="s">
        <v>13</v>
      </c>
      <c r="E40" s="137">
        <v>741</v>
      </c>
      <c r="F40" s="54" t="s">
        <v>17</v>
      </c>
      <c r="G40" s="30">
        <f t="shared" si="1"/>
        <v>18390408473.059998</v>
      </c>
      <c r="H40" s="30">
        <f t="shared" ref="H40:J41" si="29">H43</f>
        <v>2585595100</v>
      </c>
      <c r="I40" s="30">
        <f t="shared" si="29"/>
        <v>2699752800</v>
      </c>
      <c r="J40" s="30">
        <f t="shared" si="29"/>
        <v>3001827490</v>
      </c>
      <c r="K40" s="30">
        <f>K43</f>
        <v>3229508033.0599999</v>
      </c>
      <c r="L40" s="30">
        <f t="shared" ref="L40:M41" si="30">L43</f>
        <v>3416021700</v>
      </c>
      <c r="M40" s="30">
        <f t="shared" si="30"/>
        <v>3457703350</v>
      </c>
    </row>
    <row r="41" spans="1:15" ht="30.6" x14ac:dyDescent="0.3">
      <c r="A41" s="187"/>
      <c r="B41" s="160"/>
      <c r="C41" s="160"/>
      <c r="D41" s="141" t="s">
        <v>146</v>
      </c>
      <c r="E41" s="137">
        <v>741</v>
      </c>
      <c r="F41" s="54" t="s">
        <v>17</v>
      </c>
      <c r="G41" s="30">
        <f t="shared" si="1"/>
        <v>6772085540.7200003</v>
      </c>
      <c r="H41" s="30">
        <f t="shared" si="29"/>
        <v>1009189409.62</v>
      </c>
      <c r="I41" s="30">
        <f t="shared" si="29"/>
        <v>1078106902.8999999</v>
      </c>
      <c r="J41" s="30">
        <f t="shared" si="29"/>
        <v>1191236317.2</v>
      </c>
      <c r="K41" s="30">
        <f>K44</f>
        <v>1194156058.8199999</v>
      </c>
      <c r="L41" s="30">
        <f t="shared" si="30"/>
        <v>1139329952.5</v>
      </c>
      <c r="M41" s="30">
        <f>M44</f>
        <v>1160066899.6800001</v>
      </c>
    </row>
    <row r="42" spans="1:15" ht="12.75" customHeight="1" x14ac:dyDescent="0.3">
      <c r="A42" s="187">
        <v>15</v>
      </c>
      <c r="B42" s="160" t="s">
        <v>153</v>
      </c>
      <c r="C42" s="160" t="s">
        <v>62</v>
      </c>
      <c r="D42" s="141" t="s">
        <v>1</v>
      </c>
      <c r="E42" s="137">
        <v>741</v>
      </c>
      <c r="F42" s="54" t="s">
        <v>17</v>
      </c>
      <c r="G42" s="30">
        <f t="shared" si="1"/>
        <v>25162494013.779999</v>
      </c>
      <c r="H42" s="30">
        <f t="shared" ref="H42:M42" si="31">H43+H44</f>
        <v>3594784509.6199999</v>
      </c>
      <c r="I42" s="30">
        <f t="shared" si="31"/>
        <v>3777859702.8999996</v>
      </c>
      <c r="J42" s="30">
        <f t="shared" si="31"/>
        <v>4193063807.1999998</v>
      </c>
      <c r="K42" s="30">
        <f t="shared" si="31"/>
        <v>4423664091.8800001</v>
      </c>
      <c r="L42" s="30">
        <f t="shared" si="31"/>
        <v>4555351652.5</v>
      </c>
      <c r="M42" s="30">
        <f t="shared" si="31"/>
        <v>4617770249.6800003</v>
      </c>
    </row>
    <row r="43" spans="1:15" x14ac:dyDescent="0.3">
      <c r="A43" s="187"/>
      <c r="B43" s="160"/>
      <c r="C43" s="160"/>
      <c r="D43" s="141" t="s">
        <v>13</v>
      </c>
      <c r="E43" s="137">
        <v>741</v>
      </c>
      <c r="F43" s="54" t="s">
        <v>17</v>
      </c>
      <c r="G43" s="30">
        <f t="shared" si="1"/>
        <v>18390408473.059998</v>
      </c>
      <c r="H43" s="30">
        <f>H46+H54</f>
        <v>2585595100</v>
      </c>
      <c r="I43" s="30">
        <f>I46+I52+I54</f>
        <v>2699752800</v>
      </c>
      <c r="J43" s="30">
        <f t="shared" ref="J43" si="32">J46+J52+J54</f>
        <v>3001827490</v>
      </c>
      <c r="K43" s="30">
        <f>K46+K52+K54</f>
        <v>3229508033.0599999</v>
      </c>
      <c r="L43" s="30">
        <f>L46+L47+L52+L54</f>
        <v>3416021700</v>
      </c>
      <c r="M43" s="30">
        <f>M46+M47+M54</f>
        <v>3457703350</v>
      </c>
    </row>
    <row r="44" spans="1:15" ht="48" customHeight="1" x14ac:dyDescent="0.3">
      <c r="A44" s="187"/>
      <c r="B44" s="160"/>
      <c r="C44" s="160"/>
      <c r="D44" s="141" t="s">
        <v>146</v>
      </c>
      <c r="E44" s="137">
        <v>741</v>
      </c>
      <c r="F44" s="54" t="s">
        <v>17</v>
      </c>
      <c r="G44" s="30">
        <f t="shared" si="1"/>
        <v>6772085540.7200003</v>
      </c>
      <c r="H44" s="30">
        <f>H48+H49+H50+H51+H52+H53</f>
        <v>1009189409.62</v>
      </c>
      <c r="I44" s="30">
        <f>I48+I49+I50+I51+I53</f>
        <v>1078106902.8999999</v>
      </c>
      <c r="J44" s="30">
        <f t="shared" ref="J44:L44" si="33">J48+J49+J50+J51+J53</f>
        <v>1191236317.2</v>
      </c>
      <c r="K44" s="30">
        <f t="shared" si="33"/>
        <v>1194156058.8199999</v>
      </c>
      <c r="L44" s="30">
        <f t="shared" si="33"/>
        <v>1139329952.5</v>
      </c>
      <c r="M44" s="30">
        <f>M48+M49+M50+M51+M52+M53+M55</f>
        <v>1160066899.6800001</v>
      </c>
    </row>
    <row r="45" spans="1:15" ht="12.75" customHeight="1" x14ac:dyDescent="0.3">
      <c r="A45" s="187">
        <v>16</v>
      </c>
      <c r="B45" s="160" t="s">
        <v>55</v>
      </c>
      <c r="C45" s="160" t="s">
        <v>62</v>
      </c>
      <c r="D45" s="141" t="s">
        <v>1</v>
      </c>
      <c r="E45" s="137">
        <v>741</v>
      </c>
      <c r="F45" s="54" t="s">
        <v>17</v>
      </c>
      <c r="G45" s="30">
        <f t="shared" si="1"/>
        <v>24915693606.27</v>
      </c>
      <c r="H45" s="30">
        <f t="shared" ref="H45:K45" si="34">H46+H48+H47</f>
        <v>3543863168.8199997</v>
      </c>
      <c r="I45" s="30">
        <f t="shared" si="34"/>
        <v>3738279131.3000002</v>
      </c>
      <c r="J45" s="30">
        <f t="shared" si="34"/>
        <v>4136012163</v>
      </c>
      <c r="K45" s="30">
        <f t="shared" si="34"/>
        <v>4394074034.7799997</v>
      </c>
      <c r="L45" s="30">
        <f>L46+L48+L47</f>
        <v>4523866473.6700001</v>
      </c>
      <c r="M45" s="30">
        <f>M46+M48+M47</f>
        <v>4579598634.6999998</v>
      </c>
    </row>
    <row r="46" spans="1:15" x14ac:dyDescent="0.3">
      <c r="A46" s="187"/>
      <c r="B46" s="160"/>
      <c r="C46" s="160"/>
      <c r="D46" s="176" t="s">
        <v>13</v>
      </c>
      <c r="E46" s="137">
        <v>741</v>
      </c>
      <c r="F46" s="54" t="s">
        <v>102</v>
      </c>
      <c r="G46" s="30">
        <f t="shared" si="1"/>
        <v>18129896813.790001</v>
      </c>
      <c r="H46" s="30">
        <f>2532124600+24888100+28582400</f>
        <v>2585595100</v>
      </c>
      <c r="I46" s="30">
        <f>409386300+1088436400+1093393500+31067100-3065300+8955100+33279500+9201900+2592400+1799600+16880400</f>
        <v>2691926900</v>
      </c>
      <c r="J46" s="30">
        <f>2714606200+55222300+16544100+15287300+44398600+69202790+75093200</f>
        <v>2990354490</v>
      </c>
      <c r="K46" s="30">
        <v>3218547523.79</v>
      </c>
      <c r="L46" s="30">
        <v>3356211500</v>
      </c>
      <c r="M46" s="30">
        <f>3265120000+2642700+12382500+6927300+188800</f>
        <v>3287261300</v>
      </c>
    </row>
    <row r="47" spans="1:15" x14ac:dyDescent="0.3">
      <c r="A47" s="187"/>
      <c r="B47" s="160"/>
      <c r="C47" s="160"/>
      <c r="D47" s="178"/>
      <c r="E47" s="137">
        <v>741</v>
      </c>
      <c r="F47" s="54" t="s">
        <v>159</v>
      </c>
      <c r="G47" s="30">
        <f t="shared" si="1"/>
        <v>226812550</v>
      </c>
      <c r="H47" s="30">
        <v>0</v>
      </c>
      <c r="I47" s="30">
        <v>0</v>
      </c>
      <c r="J47" s="30">
        <v>0</v>
      </c>
      <c r="K47" s="30">
        <v>0</v>
      </c>
      <c r="L47" s="30">
        <v>56370500</v>
      </c>
      <c r="M47" s="30">
        <v>170442050</v>
      </c>
    </row>
    <row r="48" spans="1:15" ht="30.6" x14ac:dyDescent="0.3">
      <c r="A48" s="187"/>
      <c r="B48" s="160"/>
      <c r="C48" s="160"/>
      <c r="D48" s="141" t="s">
        <v>146</v>
      </c>
      <c r="E48" s="137">
        <v>741</v>
      </c>
      <c r="F48" s="54" t="s">
        <v>103</v>
      </c>
      <c r="G48" s="30">
        <f t="shared" si="1"/>
        <v>6558984242.4799995</v>
      </c>
      <c r="H48" s="30">
        <f>1100851820-43422600-2132000-25542830-71486321.18</f>
        <v>958268068.81999993</v>
      </c>
      <c r="I48" s="30">
        <f>1069929338-18577106.7-17000000+12000000</f>
        <v>1046352231.3</v>
      </c>
      <c r="J48" s="30">
        <f>1278823157.02-58603394.34-112979206.68+15890306+17004300+16587100-11716267+651678</f>
        <v>1145657673</v>
      </c>
      <c r="K48" s="31">
        <v>1175526510.99</v>
      </c>
      <c r="L48" s="31">
        <v>1111284473.6700001</v>
      </c>
      <c r="M48" s="97">
        <f>1164346902-32451617.3-10000000</f>
        <v>1121895284.7</v>
      </c>
      <c r="N48" s="31">
        <v>1164346902</v>
      </c>
      <c r="O48" s="118">
        <v>-10000000</v>
      </c>
    </row>
    <row r="49" spans="1:15" ht="51" x14ac:dyDescent="0.3">
      <c r="A49" s="138">
        <v>17</v>
      </c>
      <c r="B49" s="21" t="s">
        <v>87</v>
      </c>
      <c r="C49" s="140" t="s">
        <v>62</v>
      </c>
      <c r="D49" s="141" t="s">
        <v>146</v>
      </c>
      <c r="E49" s="137">
        <v>741</v>
      </c>
      <c r="F49" s="54" t="s">
        <v>104</v>
      </c>
      <c r="G49" s="30">
        <f t="shared" si="1"/>
        <v>200394205.17000002</v>
      </c>
      <c r="H49" s="30">
        <f>43422600+3090000-3500000+8050000-2622575.66</f>
        <v>48440024.340000004</v>
      </c>
      <c r="I49" s="30">
        <f>14942760+6811911.6+10000000</f>
        <v>31754671.600000001</v>
      </c>
      <c r="J49" s="30">
        <f>28180610-14363000+6966267+582832.2+3000000+19411935+300000+1500000</f>
        <v>45578644.200000003</v>
      </c>
      <c r="K49" s="30">
        <v>17971495.73</v>
      </c>
      <c r="L49" s="30">
        <v>27281578.5</v>
      </c>
      <c r="M49" s="30">
        <f>25328115.82+7027405.48-3200000+212269.5</f>
        <v>29367790.800000001</v>
      </c>
      <c r="N49" s="70"/>
      <c r="O49" s="118">
        <v>7027405.4800000004</v>
      </c>
    </row>
    <row r="50" spans="1:15" ht="30.6" x14ac:dyDescent="0.3">
      <c r="A50" s="138">
        <v>18</v>
      </c>
      <c r="B50" s="21" t="s">
        <v>59</v>
      </c>
      <c r="C50" s="140" t="s">
        <v>62</v>
      </c>
      <c r="D50" s="141" t="s">
        <v>146</v>
      </c>
      <c r="E50" s="137">
        <v>741</v>
      </c>
      <c r="F50" s="54" t="s">
        <v>123</v>
      </c>
      <c r="G50" s="30">
        <f t="shared" si="1"/>
        <v>4374134.37</v>
      </c>
      <c r="H50" s="30">
        <f>2132000+60000+220000-12667.54</f>
        <v>2399332.46</v>
      </c>
      <c r="I50" s="30">
        <v>0</v>
      </c>
      <c r="J50" s="30">
        <v>0</v>
      </c>
      <c r="K50" s="31">
        <v>658052.1</v>
      </c>
      <c r="L50" s="31">
        <f>500000+192000+71900.33</f>
        <v>763900.33</v>
      </c>
      <c r="M50" s="97">
        <v>552849.48</v>
      </c>
      <c r="O50" s="70"/>
    </row>
    <row r="51" spans="1:15" ht="30.6" x14ac:dyDescent="0.3">
      <c r="A51" s="138">
        <v>19</v>
      </c>
      <c r="B51" s="22" t="s">
        <v>172</v>
      </c>
      <c r="C51" s="140" t="s">
        <v>62</v>
      </c>
      <c r="D51" s="141" t="s">
        <v>146</v>
      </c>
      <c r="E51" s="137">
        <v>741</v>
      </c>
      <c r="F51" s="54" t="s">
        <v>17</v>
      </c>
      <c r="G51" s="30">
        <f t="shared" si="1"/>
        <v>81984</v>
      </c>
      <c r="H51" s="30">
        <f>82520-536</f>
        <v>81984</v>
      </c>
      <c r="I51" s="30">
        <v>0</v>
      </c>
      <c r="J51" s="30">
        <v>0</v>
      </c>
      <c r="K51" s="31">
        <v>0</v>
      </c>
      <c r="L51" s="31">
        <v>0</v>
      </c>
      <c r="M51" s="97">
        <v>0</v>
      </c>
    </row>
    <row r="52" spans="1:15" s="35" customFormat="1" ht="30.6" x14ac:dyDescent="0.3">
      <c r="A52" s="138">
        <v>20</v>
      </c>
      <c r="B52" s="22" t="s">
        <v>181</v>
      </c>
      <c r="C52" s="140" t="s">
        <v>61</v>
      </c>
      <c r="D52" s="141" t="s">
        <v>146</v>
      </c>
      <c r="E52" s="137">
        <v>741</v>
      </c>
      <c r="F52" s="54" t="s">
        <v>17</v>
      </c>
      <c r="G52" s="30">
        <f t="shared" si="1"/>
        <v>5000000</v>
      </c>
      <c r="H52" s="30">
        <v>0</v>
      </c>
      <c r="I52" s="30">
        <f>6550000-6550000</f>
        <v>0</v>
      </c>
      <c r="J52" s="30">
        <f>6550000-6550000</f>
        <v>0</v>
      </c>
      <c r="K52" s="30">
        <f>132980108.04-132980108.04</f>
        <v>0</v>
      </c>
      <c r="L52" s="30">
        <f t="shared" ref="L52" si="35">6550000-6550000</f>
        <v>0</v>
      </c>
      <c r="M52" s="30">
        <v>5000000</v>
      </c>
      <c r="O52" s="121">
        <v>5000000</v>
      </c>
    </row>
    <row r="53" spans="1:15" ht="49.5" customHeight="1" x14ac:dyDescent="0.3">
      <c r="A53" s="138">
        <v>21</v>
      </c>
      <c r="B53" s="22" t="s">
        <v>67</v>
      </c>
      <c r="C53" s="140" t="s">
        <v>62</v>
      </c>
      <c r="D53" s="141" t="s">
        <v>146</v>
      </c>
      <c r="E53" s="137">
        <v>741</v>
      </c>
      <c r="F53" s="54" t="s">
        <v>105</v>
      </c>
      <c r="G53" s="30">
        <f t="shared" si="1"/>
        <v>50974.7</v>
      </c>
      <c r="H53" s="30">
        <v>0</v>
      </c>
      <c r="I53" s="30">
        <f>1186029-1186029</f>
        <v>0</v>
      </c>
      <c r="J53" s="30">
        <f>1970670-784641-1186029</f>
        <v>0</v>
      </c>
      <c r="K53" s="30">
        <f>1762877-576848-1186029</f>
        <v>0</v>
      </c>
      <c r="L53" s="30">
        <v>0</v>
      </c>
      <c r="M53" s="30">
        <v>50974.7</v>
      </c>
    </row>
    <row r="54" spans="1:15" ht="95.25" customHeight="1" x14ac:dyDescent="0.3">
      <c r="A54" s="142">
        <v>22</v>
      </c>
      <c r="B54" s="145" t="s">
        <v>89</v>
      </c>
      <c r="C54" s="140" t="s">
        <v>62</v>
      </c>
      <c r="D54" s="141" t="s">
        <v>13</v>
      </c>
      <c r="E54" s="137">
        <v>741</v>
      </c>
      <c r="F54" s="54" t="s">
        <v>106</v>
      </c>
      <c r="G54" s="30">
        <f t="shared" si="1"/>
        <v>33699109.269999996</v>
      </c>
      <c r="H54" s="30">
        <v>0</v>
      </c>
      <c r="I54" s="30">
        <v>7825900</v>
      </c>
      <c r="J54" s="30">
        <f>4455300+1292000+5725700</f>
        <v>11473000</v>
      </c>
      <c r="K54" s="30">
        <v>10960509.27</v>
      </c>
      <c r="L54" s="30">
        <v>3439700</v>
      </c>
      <c r="M54" s="30">
        <v>0</v>
      </c>
    </row>
    <row r="55" spans="1:15" ht="46.5" customHeight="1" x14ac:dyDescent="0.3">
      <c r="A55" s="142">
        <v>23</v>
      </c>
      <c r="B55" s="22" t="s">
        <v>182</v>
      </c>
      <c r="C55" s="140" t="s">
        <v>61</v>
      </c>
      <c r="D55" s="141" t="s">
        <v>146</v>
      </c>
      <c r="E55" s="137">
        <v>741</v>
      </c>
      <c r="F55" s="54" t="s">
        <v>17</v>
      </c>
      <c r="G55" s="30">
        <f t="shared" si="1"/>
        <v>3200000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3200000</v>
      </c>
    </row>
    <row r="56" spans="1:15" ht="12.75" customHeight="1" x14ac:dyDescent="0.3">
      <c r="A56" s="173">
        <v>24</v>
      </c>
      <c r="B56" s="179" t="s">
        <v>15</v>
      </c>
      <c r="C56" s="167" t="s">
        <v>128</v>
      </c>
      <c r="D56" s="141" t="s">
        <v>1</v>
      </c>
      <c r="E56" s="137" t="s">
        <v>17</v>
      </c>
      <c r="F56" s="54" t="s">
        <v>107</v>
      </c>
      <c r="G56" s="30">
        <f t="shared" si="1"/>
        <v>338953964.60000002</v>
      </c>
      <c r="H56" s="30">
        <f>H57+H58</f>
        <v>42401900</v>
      </c>
      <c r="I56" s="30">
        <f>I57+I58</f>
        <v>62724066.529999994</v>
      </c>
      <c r="J56" s="30">
        <f t="shared" ref="J56:M56" si="36">J57+J58</f>
        <v>83285518.75</v>
      </c>
      <c r="K56" s="30">
        <f t="shared" si="36"/>
        <v>60687648.75</v>
      </c>
      <c r="L56" s="30">
        <f t="shared" si="36"/>
        <v>47191869.57</v>
      </c>
      <c r="M56" s="30">
        <f t="shared" si="36"/>
        <v>42662961</v>
      </c>
    </row>
    <row r="57" spans="1:15" ht="12.75" customHeight="1" x14ac:dyDescent="0.3">
      <c r="A57" s="174"/>
      <c r="B57" s="180"/>
      <c r="C57" s="168"/>
      <c r="D57" s="141" t="s">
        <v>13</v>
      </c>
      <c r="E57" s="137" t="s">
        <v>17</v>
      </c>
      <c r="F57" s="54" t="s">
        <v>107</v>
      </c>
      <c r="G57" s="30">
        <f t="shared" si="1"/>
        <v>9883617.4000000004</v>
      </c>
      <c r="H57" s="30">
        <f>H60</f>
        <v>0</v>
      </c>
      <c r="I57" s="30">
        <f t="shared" ref="I57:M58" si="37">I60</f>
        <v>9883617.4000000004</v>
      </c>
      <c r="J57" s="30">
        <f t="shared" si="37"/>
        <v>0</v>
      </c>
      <c r="K57" s="30">
        <f>K60</f>
        <v>0</v>
      </c>
      <c r="L57" s="30">
        <f t="shared" ref="L57:M57" si="38">L60</f>
        <v>0</v>
      </c>
      <c r="M57" s="30">
        <f t="shared" si="38"/>
        <v>0</v>
      </c>
    </row>
    <row r="58" spans="1:15" ht="71.25" customHeight="1" x14ac:dyDescent="0.3">
      <c r="A58" s="174"/>
      <c r="B58" s="180"/>
      <c r="C58" s="169"/>
      <c r="D58" s="141" t="s">
        <v>146</v>
      </c>
      <c r="E58" s="137" t="s">
        <v>17</v>
      </c>
      <c r="F58" s="54" t="s">
        <v>107</v>
      </c>
      <c r="G58" s="30">
        <f t="shared" si="1"/>
        <v>329070347.19999999</v>
      </c>
      <c r="H58" s="30">
        <f>H61</f>
        <v>42401900</v>
      </c>
      <c r="I58" s="30">
        <f t="shared" si="37"/>
        <v>52840449.129999995</v>
      </c>
      <c r="J58" s="30">
        <f t="shared" si="37"/>
        <v>83285518.75</v>
      </c>
      <c r="K58" s="30">
        <f>K61</f>
        <v>60687648.75</v>
      </c>
      <c r="L58" s="30">
        <f t="shared" si="37"/>
        <v>47191869.57</v>
      </c>
      <c r="M58" s="30">
        <f t="shared" si="37"/>
        <v>42662961</v>
      </c>
      <c r="N58" s="70">
        <f>L58-L66</f>
        <v>47191869.57</v>
      </c>
    </row>
    <row r="59" spans="1:15" ht="30.75" customHeight="1" x14ac:dyDescent="0.3">
      <c r="A59" s="173">
        <v>25</v>
      </c>
      <c r="B59" s="184" t="s">
        <v>152</v>
      </c>
      <c r="C59" s="167" t="s">
        <v>128</v>
      </c>
      <c r="D59" s="141" t="s">
        <v>1</v>
      </c>
      <c r="E59" s="137" t="s">
        <v>17</v>
      </c>
      <c r="F59" s="54" t="s">
        <v>17</v>
      </c>
      <c r="G59" s="30">
        <f t="shared" si="1"/>
        <v>338953964.60000002</v>
      </c>
      <c r="H59" s="30">
        <f>H60+H61</f>
        <v>42401900</v>
      </c>
      <c r="I59" s="30">
        <f t="shared" ref="I59:M59" si="39">I60+I61</f>
        <v>62724066.529999994</v>
      </c>
      <c r="J59" s="30">
        <f t="shared" si="39"/>
        <v>83285518.75</v>
      </c>
      <c r="K59" s="30">
        <f t="shared" si="39"/>
        <v>60687648.75</v>
      </c>
      <c r="L59" s="30">
        <f t="shared" si="39"/>
        <v>47191869.57</v>
      </c>
      <c r="M59" s="30">
        <f t="shared" si="39"/>
        <v>42662961</v>
      </c>
    </row>
    <row r="60" spans="1:15" ht="27.75" customHeight="1" x14ac:dyDescent="0.3">
      <c r="A60" s="174"/>
      <c r="B60" s="185"/>
      <c r="C60" s="168"/>
      <c r="D60" s="141" t="s">
        <v>13</v>
      </c>
      <c r="E60" s="137" t="s">
        <v>17</v>
      </c>
      <c r="F60" s="54" t="s">
        <v>17</v>
      </c>
      <c r="G60" s="30">
        <f t="shared" si="1"/>
        <v>9883617.4000000004</v>
      </c>
      <c r="H60" s="30">
        <f>H63</f>
        <v>0</v>
      </c>
      <c r="I60" s="30">
        <f t="shared" ref="I60:M61" si="40">I63</f>
        <v>9883617.4000000004</v>
      </c>
      <c r="J60" s="30">
        <f t="shared" si="40"/>
        <v>0</v>
      </c>
      <c r="K60" s="30">
        <f>K63</f>
        <v>0</v>
      </c>
      <c r="L60" s="30">
        <f t="shared" si="40"/>
        <v>0</v>
      </c>
      <c r="M60" s="30">
        <f t="shared" si="40"/>
        <v>0</v>
      </c>
    </row>
    <row r="61" spans="1:15" ht="30.6" x14ac:dyDescent="0.3">
      <c r="A61" s="175"/>
      <c r="B61" s="186"/>
      <c r="C61" s="169"/>
      <c r="D61" s="141" t="s">
        <v>146</v>
      </c>
      <c r="E61" s="137" t="s">
        <v>17</v>
      </c>
      <c r="F61" s="54" t="s">
        <v>17</v>
      </c>
      <c r="G61" s="30">
        <f t="shared" si="1"/>
        <v>329070347.19999999</v>
      </c>
      <c r="H61" s="30">
        <f>H64</f>
        <v>42401900</v>
      </c>
      <c r="I61" s="30">
        <f t="shared" si="40"/>
        <v>52840449.129999995</v>
      </c>
      <c r="J61" s="30">
        <f t="shared" si="40"/>
        <v>83285518.75</v>
      </c>
      <c r="K61" s="30">
        <f>K64</f>
        <v>60687648.75</v>
      </c>
      <c r="L61" s="30">
        <f t="shared" si="40"/>
        <v>47191869.57</v>
      </c>
      <c r="M61" s="30">
        <f t="shared" si="40"/>
        <v>42662961</v>
      </c>
    </row>
    <row r="62" spans="1:15" ht="21.75" customHeight="1" x14ac:dyDescent="0.3">
      <c r="A62" s="173">
        <v>26</v>
      </c>
      <c r="B62" s="184" t="s">
        <v>69</v>
      </c>
      <c r="C62" s="167" t="s">
        <v>128</v>
      </c>
      <c r="D62" s="141" t="s">
        <v>1</v>
      </c>
      <c r="E62" s="137" t="s">
        <v>17</v>
      </c>
      <c r="F62" s="54" t="s">
        <v>17</v>
      </c>
      <c r="G62" s="30">
        <f t="shared" si="1"/>
        <v>338953964.60000002</v>
      </c>
      <c r="H62" s="30">
        <f>H63+H64</f>
        <v>42401900</v>
      </c>
      <c r="I62" s="30">
        <f t="shared" ref="I62:M62" si="41">I63+I64</f>
        <v>62724066.529999994</v>
      </c>
      <c r="J62" s="30">
        <f t="shared" si="41"/>
        <v>83285518.75</v>
      </c>
      <c r="K62" s="30">
        <f t="shared" si="41"/>
        <v>60687648.75</v>
      </c>
      <c r="L62" s="30">
        <f t="shared" si="41"/>
        <v>47191869.57</v>
      </c>
      <c r="M62" s="30">
        <f t="shared" si="41"/>
        <v>42662961</v>
      </c>
    </row>
    <row r="63" spans="1:15" ht="18.75" customHeight="1" x14ac:dyDescent="0.3">
      <c r="A63" s="174"/>
      <c r="B63" s="185"/>
      <c r="C63" s="168"/>
      <c r="D63" s="141" t="s">
        <v>13</v>
      </c>
      <c r="E63" s="137" t="s">
        <v>17</v>
      </c>
      <c r="F63" s="54" t="s">
        <v>17</v>
      </c>
      <c r="G63" s="30">
        <f t="shared" si="1"/>
        <v>9883617.4000000004</v>
      </c>
      <c r="H63" s="30">
        <f>H71</f>
        <v>0</v>
      </c>
      <c r="I63" s="30">
        <f>I71+I74</f>
        <v>9883617.4000000004</v>
      </c>
      <c r="J63" s="30">
        <f t="shared" ref="J63" si="42">J71+J74</f>
        <v>0</v>
      </c>
      <c r="K63" s="30">
        <f>K71+K74</f>
        <v>0</v>
      </c>
      <c r="L63" s="30">
        <f t="shared" ref="L63:M63" si="43">L71+L74</f>
        <v>0</v>
      </c>
      <c r="M63" s="30">
        <f t="shared" si="43"/>
        <v>0</v>
      </c>
    </row>
    <row r="64" spans="1:15" ht="68.25" customHeight="1" x14ac:dyDescent="0.3">
      <c r="A64" s="175"/>
      <c r="B64" s="186"/>
      <c r="C64" s="169"/>
      <c r="D64" s="141" t="s">
        <v>146</v>
      </c>
      <c r="E64" s="137" t="s">
        <v>17</v>
      </c>
      <c r="F64" s="54" t="s">
        <v>17</v>
      </c>
      <c r="G64" s="30">
        <f t="shared" si="1"/>
        <v>329070347.19999999</v>
      </c>
      <c r="H64" s="30">
        <f>H66+H67+H68+H69+H72+H75</f>
        <v>42401900</v>
      </c>
      <c r="I64" s="30">
        <f>I66+I67+I68+I69+I72+I75</f>
        <v>52840449.129999995</v>
      </c>
      <c r="J64" s="30">
        <f>J66+J67+J68+J69+J72+J75</f>
        <v>83285518.75</v>
      </c>
      <c r="K64" s="30">
        <f>K66+K67+K68+K69+K72+K75</f>
        <v>60687648.75</v>
      </c>
      <c r="L64" s="30">
        <f t="shared" ref="L64:M64" si="44">L66+L67+L68+L69+L72+L75</f>
        <v>47191869.57</v>
      </c>
      <c r="M64" s="30">
        <f t="shared" si="44"/>
        <v>42662961</v>
      </c>
    </row>
    <row r="65" spans="1:14" ht="20.25" customHeight="1" x14ac:dyDescent="0.3">
      <c r="A65" s="164">
        <v>27</v>
      </c>
      <c r="B65" s="167" t="s">
        <v>136</v>
      </c>
      <c r="C65" s="176" t="s">
        <v>129</v>
      </c>
      <c r="D65" s="141" t="s">
        <v>1</v>
      </c>
      <c r="E65" s="137" t="s">
        <v>17</v>
      </c>
      <c r="F65" s="54" t="s">
        <v>17</v>
      </c>
      <c r="G65" s="30">
        <f>G66+G67</f>
        <v>170500733.55000001</v>
      </c>
      <c r="H65" s="30">
        <f t="shared" ref="H65:M65" si="45">H66+H67</f>
        <v>21839500</v>
      </c>
      <c r="I65" s="30">
        <f t="shared" si="45"/>
        <v>36839500</v>
      </c>
      <c r="J65" s="30">
        <f t="shared" si="45"/>
        <v>46589500</v>
      </c>
      <c r="K65" s="30">
        <f t="shared" si="45"/>
        <v>30470216.75</v>
      </c>
      <c r="L65" s="30">
        <f t="shared" si="45"/>
        <v>17922516.800000001</v>
      </c>
      <c r="M65" s="30">
        <f t="shared" si="45"/>
        <v>16839500</v>
      </c>
    </row>
    <row r="66" spans="1:14" ht="38.25" customHeight="1" x14ac:dyDescent="0.3">
      <c r="A66" s="165"/>
      <c r="B66" s="168"/>
      <c r="C66" s="177"/>
      <c r="D66" s="176" t="s">
        <v>146</v>
      </c>
      <c r="E66" s="137">
        <v>737</v>
      </c>
      <c r="F66" s="182" t="s">
        <v>108</v>
      </c>
      <c r="G66" s="30">
        <f t="shared" si="1"/>
        <v>7375644.1799999997</v>
      </c>
      <c r="H66" s="30">
        <v>0</v>
      </c>
      <c r="I66" s="30">
        <v>0</v>
      </c>
      <c r="J66" s="30">
        <v>0</v>
      </c>
      <c r="K66" s="30">
        <v>7375644.1799999997</v>
      </c>
      <c r="L66" s="30">
        <f>16575458.6-16575458.6</f>
        <v>0</v>
      </c>
      <c r="M66" s="30">
        <v>0</v>
      </c>
    </row>
    <row r="67" spans="1:14" ht="38.25" customHeight="1" x14ac:dyDescent="0.3">
      <c r="A67" s="166"/>
      <c r="B67" s="169"/>
      <c r="C67" s="178"/>
      <c r="D67" s="178"/>
      <c r="E67" s="137">
        <v>741</v>
      </c>
      <c r="F67" s="183"/>
      <c r="G67" s="30">
        <f t="shared" si="1"/>
        <v>163125089.37</v>
      </c>
      <c r="H67" s="30">
        <v>21839500</v>
      </c>
      <c r="I67" s="30">
        <f>16839500+13000000+7000000</f>
        <v>36839500</v>
      </c>
      <c r="J67" s="30">
        <f>16839500+20000000+3000000+4750000+2000000</f>
        <v>46589500</v>
      </c>
      <c r="K67" s="31">
        <f>61018951.86-44179451.86+6255072.57</f>
        <v>23094572.57</v>
      </c>
      <c r="L67" s="31">
        <v>17922516.800000001</v>
      </c>
      <c r="M67" s="97">
        <f>96836596.9-79997096.9</f>
        <v>16839500</v>
      </c>
    </row>
    <row r="68" spans="1:14" ht="51" x14ac:dyDescent="0.3">
      <c r="A68" s="147">
        <v>28</v>
      </c>
      <c r="B68" s="140" t="s">
        <v>151</v>
      </c>
      <c r="C68" s="140" t="s">
        <v>62</v>
      </c>
      <c r="D68" s="141" t="s">
        <v>41</v>
      </c>
      <c r="E68" s="137">
        <v>741</v>
      </c>
      <c r="F68" s="54" t="s">
        <v>17</v>
      </c>
      <c r="G68" s="30">
        <f t="shared" si="1"/>
        <v>15200000</v>
      </c>
      <c r="H68" s="30">
        <v>15200000</v>
      </c>
      <c r="I68" s="30">
        <v>0</v>
      </c>
      <c r="J68" s="30">
        <v>0</v>
      </c>
      <c r="K68" s="31">
        <v>0</v>
      </c>
      <c r="L68" s="31">
        <v>0</v>
      </c>
      <c r="M68" s="97">
        <v>0</v>
      </c>
    </row>
    <row r="69" spans="1:14" ht="51" x14ac:dyDescent="0.3">
      <c r="A69" s="147">
        <v>29</v>
      </c>
      <c r="B69" s="140" t="s">
        <v>56</v>
      </c>
      <c r="C69" s="140" t="s">
        <v>62</v>
      </c>
      <c r="D69" s="141" t="s">
        <v>41</v>
      </c>
      <c r="E69" s="137">
        <v>741</v>
      </c>
      <c r="F69" s="54" t="s">
        <v>17</v>
      </c>
      <c r="G69" s="30">
        <f t="shared" si="1"/>
        <v>5362400</v>
      </c>
      <c r="H69" s="30">
        <v>5362400</v>
      </c>
      <c r="I69" s="30">
        <v>0</v>
      </c>
      <c r="J69" s="30">
        <v>0</v>
      </c>
      <c r="K69" s="31">
        <v>0</v>
      </c>
      <c r="L69" s="31">
        <v>0</v>
      </c>
      <c r="M69" s="97">
        <v>0</v>
      </c>
    </row>
    <row r="70" spans="1:14" ht="12.75" customHeight="1" x14ac:dyDescent="0.3">
      <c r="A70" s="164">
        <v>30</v>
      </c>
      <c r="B70" s="167" t="s">
        <v>68</v>
      </c>
      <c r="C70" s="167" t="s">
        <v>62</v>
      </c>
      <c r="D70" s="141" t="s">
        <v>1</v>
      </c>
      <c r="E70" s="137">
        <v>741</v>
      </c>
      <c r="F70" s="54" t="s">
        <v>17</v>
      </c>
      <c r="G70" s="30">
        <f t="shared" si="1"/>
        <v>84500626.899999991</v>
      </c>
      <c r="H70" s="30">
        <f>H71+H72</f>
        <v>0</v>
      </c>
      <c r="I70" s="30">
        <f t="shared" ref="I70:M70" si="46">I71+I72</f>
        <v>16000949.129999999</v>
      </c>
      <c r="J70" s="30">
        <f t="shared" si="46"/>
        <v>20682432</v>
      </c>
      <c r="K70" s="30">
        <f t="shared" si="46"/>
        <v>15682432</v>
      </c>
      <c r="L70" s="30">
        <f t="shared" si="46"/>
        <v>16766352.77</v>
      </c>
      <c r="M70" s="30">
        <f t="shared" si="46"/>
        <v>15368461</v>
      </c>
    </row>
    <row r="71" spans="1:14" x14ac:dyDescent="0.3">
      <c r="A71" s="165"/>
      <c r="B71" s="168"/>
      <c r="C71" s="168"/>
      <c r="D71" s="141" t="s">
        <v>13</v>
      </c>
      <c r="E71" s="137">
        <v>741</v>
      </c>
      <c r="F71" s="54" t="s">
        <v>17</v>
      </c>
      <c r="G71" s="30">
        <f t="shared" si="1"/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</row>
    <row r="72" spans="1:14" ht="46.5" customHeight="1" x14ac:dyDescent="0.3">
      <c r="A72" s="166"/>
      <c r="B72" s="169"/>
      <c r="C72" s="169"/>
      <c r="D72" s="141" t="s">
        <v>41</v>
      </c>
      <c r="E72" s="137">
        <v>741</v>
      </c>
      <c r="F72" s="54" t="s">
        <v>109</v>
      </c>
      <c r="G72" s="30">
        <f t="shared" si="1"/>
        <v>84500626.899999991</v>
      </c>
      <c r="H72" s="30">
        <v>0</v>
      </c>
      <c r="I72" s="30">
        <f>15682432+3085930-2767412.87</f>
        <v>16000949.129999999</v>
      </c>
      <c r="J72" s="30">
        <f>15682432+5000000</f>
        <v>20682432</v>
      </c>
      <c r="K72" s="30">
        <f>28385237.79-12702805.79</f>
        <v>15682432</v>
      </c>
      <c r="L72" s="30">
        <v>16766352.77</v>
      </c>
      <c r="M72" s="30">
        <f>32600822.85-16918390.85-313971</f>
        <v>15368461</v>
      </c>
    </row>
    <row r="73" spans="1:14" x14ac:dyDescent="0.3">
      <c r="A73" s="164">
        <v>31</v>
      </c>
      <c r="B73" s="167" t="s">
        <v>81</v>
      </c>
      <c r="C73" s="170" t="s">
        <v>62</v>
      </c>
      <c r="D73" s="141" t="s">
        <v>1</v>
      </c>
      <c r="E73" s="137">
        <v>741</v>
      </c>
      <c r="F73" s="54" t="s">
        <v>17</v>
      </c>
      <c r="G73" s="30">
        <f t="shared" si="1"/>
        <v>9883617.4000000004</v>
      </c>
      <c r="H73" s="30">
        <f>H74</f>
        <v>0</v>
      </c>
      <c r="I73" s="30">
        <f>I74</f>
        <v>9883617.4000000004</v>
      </c>
      <c r="J73" s="30">
        <f>J74</f>
        <v>0</v>
      </c>
      <c r="K73" s="30">
        <f t="shared" ref="K73:M73" si="47">K74</f>
        <v>0</v>
      </c>
      <c r="L73" s="30">
        <f t="shared" si="47"/>
        <v>0</v>
      </c>
      <c r="M73" s="30">
        <f t="shared" si="47"/>
        <v>0</v>
      </c>
    </row>
    <row r="74" spans="1:14" ht="93" customHeight="1" x14ac:dyDescent="0.3">
      <c r="A74" s="165"/>
      <c r="B74" s="168"/>
      <c r="C74" s="171"/>
      <c r="D74" s="138" t="s">
        <v>13</v>
      </c>
      <c r="E74" s="137">
        <v>741</v>
      </c>
      <c r="F74" s="54" t="s">
        <v>17</v>
      </c>
      <c r="G74" s="30">
        <f t="shared" si="1"/>
        <v>9883617.4000000004</v>
      </c>
      <c r="H74" s="30">
        <v>0</v>
      </c>
      <c r="I74" s="30">
        <f>2767412.2+7116205.2</f>
        <v>9883617.4000000004</v>
      </c>
      <c r="J74" s="30">
        <v>0</v>
      </c>
      <c r="K74" s="30">
        <v>0</v>
      </c>
      <c r="L74" s="30">
        <v>0</v>
      </c>
      <c r="M74" s="30">
        <v>0</v>
      </c>
    </row>
    <row r="75" spans="1:14" ht="40.799999999999997" x14ac:dyDescent="0.3">
      <c r="A75" s="147">
        <v>32</v>
      </c>
      <c r="B75" s="140" t="s">
        <v>93</v>
      </c>
      <c r="C75" s="140" t="s">
        <v>62</v>
      </c>
      <c r="D75" s="141" t="s">
        <v>41</v>
      </c>
      <c r="E75" s="137">
        <v>741</v>
      </c>
      <c r="F75" s="54" t="s">
        <v>110</v>
      </c>
      <c r="G75" s="30">
        <f t="shared" si="1"/>
        <v>53506586.75</v>
      </c>
      <c r="H75" s="30">
        <v>0</v>
      </c>
      <c r="I75" s="30">
        <v>0</v>
      </c>
      <c r="J75" s="30">
        <f>15548000-200000+665586.75</f>
        <v>16013586.75</v>
      </c>
      <c r="K75" s="30">
        <f>15548000-1013000</f>
        <v>14535000</v>
      </c>
      <c r="L75" s="30">
        <f>15248000-2745000</f>
        <v>12503000</v>
      </c>
      <c r="M75" s="30">
        <v>10455000</v>
      </c>
      <c r="N75" s="70"/>
    </row>
    <row r="76" spans="1:14" s="34" customFormat="1" ht="51" x14ac:dyDescent="0.3">
      <c r="A76" s="147">
        <v>33</v>
      </c>
      <c r="B76" s="36" t="s">
        <v>16</v>
      </c>
      <c r="C76" s="20" t="s">
        <v>65</v>
      </c>
      <c r="D76" s="37" t="s">
        <v>41</v>
      </c>
      <c r="E76" s="137">
        <v>737</v>
      </c>
      <c r="F76" s="55" t="s">
        <v>17</v>
      </c>
      <c r="G76" s="30">
        <f t="shared" si="1"/>
        <v>180182951.73000002</v>
      </c>
      <c r="H76" s="41">
        <f>H77</f>
        <v>83250981</v>
      </c>
      <c r="I76" s="30">
        <f t="shared" ref="H76:M77" si="48">I77</f>
        <v>96931970.730000004</v>
      </c>
      <c r="J76" s="41">
        <f t="shared" si="48"/>
        <v>0</v>
      </c>
      <c r="K76" s="41">
        <f t="shared" si="48"/>
        <v>0</v>
      </c>
      <c r="L76" s="41">
        <f t="shared" si="48"/>
        <v>0</v>
      </c>
      <c r="M76" s="30">
        <f t="shared" si="48"/>
        <v>0</v>
      </c>
    </row>
    <row r="77" spans="1:14" s="35" customFormat="1" ht="51" x14ac:dyDescent="0.3">
      <c r="A77" s="147">
        <v>34</v>
      </c>
      <c r="B77" s="40" t="s">
        <v>82</v>
      </c>
      <c r="C77" s="20" t="s">
        <v>65</v>
      </c>
      <c r="D77" s="37" t="s">
        <v>41</v>
      </c>
      <c r="E77" s="38">
        <v>737</v>
      </c>
      <c r="F77" s="55" t="s">
        <v>17</v>
      </c>
      <c r="G77" s="30">
        <f t="shared" si="1"/>
        <v>180182951.73000002</v>
      </c>
      <c r="H77" s="41">
        <f t="shared" si="48"/>
        <v>83250981</v>
      </c>
      <c r="I77" s="41">
        <f t="shared" si="48"/>
        <v>96931970.730000004</v>
      </c>
      <c r="J77" s="41">
        <f t="shared" si="48"/>
        <v>0</v>
      </c>
      <c r="K77" s="41">
        <f t="shared" si="48"/>
        <v>0</v>
      </c>
      <c r="L77" s="41">
        <f t="shared" si="48"/>
        <v>0</v>
      </c>
      <c r="M77" s="30">
        <f t="shared" si="48"/>
        <v>0</v>
      </c>
    </row>
    <row r="78" spans="1:14" s="35" customFormat="1" ht="51" x14ac:dyDescent="0.3">
      <c r="A78" s="147">
        <v>35</v>
      </c>
      <c r="B78" s="40" t="s">
        <v>83</v>
      </c>
      <c r="C78" s="20" t="s">
        <v>65</v>
      </c>
      <c r="D78" s="37" t="s">
        <v>146</v>
      </c>
      <c r="E78" s="38">
        <v>737</v>
      </c>
      <c r="F78" s="55" t="s">
        <v>17</v>
      </c>
      <c r="G78" s="30">
        <f t="shared" ref="G78:G164" si="49">H78+I78+J78+K78+L78+M78</f>
        <v>180182951.73000002</v>
      </c>
      <c r="H78" s="41">
        <f t="shared" ref="H78:M78" si="50">SUM(H79:H83)</f>
        <v>83250981</v>
      </c>
      <c r="I78" s="41">
        <f t="shared" si="50"/>
        <v>96931970.730000004</v>
      </c>
      <c r="J78" s="41">
        <f t="shared" si="50"/>
        <v>0</v>
      </c>
      <c r="K78" s="41">
        <f t="shared" si="50"/>
        <v>0</v>
      </c>
      <c r="L78" s="41">
        <f t="shared" si="50"/>
        <v>0</v>
      </c>
      <c r="M78" s="30">
        <f t="shared" si="50"/>
        <v>0</v>
      </c>
    </row>
    <row r="79" spans="1:14" s="35" customFormat="1" ht="51" x14ac:dyDescent="0.3">
      <c r="A79" s="147">
        <v>36</v>
      </c>
      <c r="B79" s="40" t="s">
        <v>84</v>
      </c>
      <c r="C79" s="20" t="s">
        <v>65</v>
      </c>
      <c r="D79" s="37" t="s">
        <v>146</v>
      </c>
      <c r="E79" s="38">
        <v>737</v>
      </c>
      <c r="F79" s="55" t="s">
        <v>17</v>
      </c>
      <c r="G79" s="30">
        <f t="shared" si="49"/>
        <v>70404569.390000001</v>
      </c>
      <c r="H79" s="41">
        <v>5000000</v>
      </c>
      <c r="I79" s="41">
        <v>65404569.390000001</v>
      </c>
      <c r="J79" s="41">
        <v>0</v>
      </c>
      <c r="K79" s="41">
        <v>0</v>
      </c>
      <c r="L79" s="41">
        <v>0</v>
      </c>
      <c r="M79" s="30">
        <v>0</v>
      </c>
    </row>
    <row r="80" spans="1:14" s="88" customFormat="1" ht="51" hidden="1" x14ac:dyDescent="0.3">
      <c r="A80" s="32"/>
      <c r="B80" s="83" t="s">
        <v>125</v>
      </c>
      <c r="C80" s="84" t="s">
        <v>65</v>
      </c>
      <c r="D80" s="84" t="s">
        <v>41</v>
      </c>
      <c r="E80" s="85" t="s">
        <v>17</v>
      </c>
      <c r="F80" s="86" t="s">
        <v>17</v>
      </c>
      <c r="G80" s="87">
        <f t="shared" si="49"/>
        <v>0</v>
      </c>
      <c r="H80" s="87">
        <v>0</v>
      </c>
      <c r="I80" s="87">
        <v>0</v>
      </c>
      <c r="J80" s="87">
        <v>0</v>
      </c>
      <c r="K80" s="87">
        <f>1000000-1000000</f>
        <v>0</v>
      </c>
      <c r="L80" s="87"/>
      <c r="M80" s="30"/>
    </row>
    <row r="81" spans="1:13" s="35" customFormat="1" ht="51" x14ac:dyDescent="0.3">
      <c r="A81" s="147">
        <v>37</v>
      </c>
      <c r="B81" s="40" t="s">
        <v>86</v>
      </c>
      <c r="C81" s="20" t="s">
        <v>65</v>
      </c>
      <c r="D81" s="37" t="s">
        <v>146</v>
      </c>
      <c r="E81" s="38">
        <v>737</v>
      </c>
      <c r="F81" s="55" t="s">
        <v>17</v>
      </c>
      <c r="G81" s="30">
        <f t="shared" si="49"/>
        <v>7769217.5</v>
      </c>
      <c r="H81" s="41">
        <v>5000000</v>
      </c>
      <c r="I81" s="41">
        <f>4000000-1230782.5</f>
        <v>2769217.5</v>
      </c>
      <c r="J81" s="41">
        <v>0</v>
      </c>
      <c r="K81" s="41">
        <v>0</v>
      </c>
      <c r="L81" s="41">
        <v>0</v>
      </c>
      <c r="M81" s="30">
        <v>0</v>
      </c>
    </row>
    <row r="82" spans="1:13" s="88" customFormat="1" ht="67.5" hidden="1" customHeight="1" x14ac:dyDescent="0.3">
      <c r="A82" s="32"/>
      <c r="B82" s="89" t="s">
        <v>126</v>
      </c>
      <c r="C82" s="89" t="s">
        <v>65</v>
      </c>
      <c r="D82" s="84" t="s">
        <v>41</v>
      </c>
      <c r="E82" s="85" t="s">
        <v>17</v>
      </c>
      <c r="F82" s="86" t="s">
        <v>17</v>
      </c>
      <c r="G82" s="87">
        <f t="shared" si="49"/>
        <v>0</v>
      </c>
      <c r="H82" s="87">
        <v>0</v>
      </c>
      <c r="I82" s="87">
        <f>10800000-4900000-5900000</f>
        <v>0</v>
      </c>
      <c r="J82" s="87"/>
      <c r="K82" s="87"/>
      <c r="L82" s="87"/>
      <c r="M82" s="30"/>
    </row>
    <row r="83" spans="1:13" s="35" customFormat="1" ht="143.25" customHeight="1" x14ac:dyDescent="0.3">
      <c r="A83" s="147">
        <v>38</v>
      </c>
      <c r="B83" s="49" t="s">
        <v>90</v>
      </c>
      <c r="C83" s="20" t="s">
        <v>65</v>
      </c>
      <c r="D83" s="37" t="s">
        <v>146</v>
      </c>
      <c r="E83" s="38">
        <v>737</v>
      </c>
      <c r="F83" s="55" t="s">
        <v>17</v>
      </c>
      <c r="G83" s="30">
        <f t="shared" si="49"/>
        <v>102009164.84</v>
      </c>
      <c r="H83" s="41">
        <v>73250981</v>
      </c>
      <c r="I83" s="41">
        <f>34250981+4900000+1230782.5-6130782.5-5492797.16</f>
        <v>28758183.84</v>
      </c>
      <c r="J83" s="41">
        <v>0</v>
      </c>
      <c r="K83" s="41">
        <v>0</v>
      </c>
      <c r="L83" s="41">
        <v>0</v>
      </c>
      <c r="M83" s="30">
        <v>0</v>
      </c>
    </row>
    <row r="84" spans="1:13" ht="17.25" customHeight="1" x14ac:dyDescent="0.3">
      <c r="A84" s="173">
        <v>39</v>
      </c>
      <c r="B84" s="179" t="s">
        <v>8</v>
      </c>
      <c r="C84" s="176" t="s">
        <v>62</v>
      </c>
      <c r="D84" s="141" t="s">
        <v>1</v>
      </c>
      <c r="E84" s="137">
        <v>741</v>
      </c>
      <c r="F84" s="54" t="s">
        <v>166</v>
      </c>
      <c r="G84" s="30">
        <f t="shared" si="49"/>
        <v>413879264.92999995</v>
      </c>
      <c r="H84" s="30">
        <f t="shared" ref="H84:K84" si="51">H85+H86</f>
        <v>1765980</v>
      </c>
      <c r="I84" s="30">
        <f t="shared" si="51"/>
        <v>1934430</v>
      </c>
      <c r="J84" s="30">
        <f t="shared" si="51"/>
        <v>2114330</v>
      </c>
      <c r="K84" s="30">
        <f t="shared" si="51"/>
        <v>0</v>
      </c>
      <c r="L84" s="30">
        <f>L85+L86</f>
        <v>101229681.64</v>
      </c>
      <c r="M84" s="30">
        <f>M85+M86</f>
        <v>306834843.28999996</v>
      </c>
    </row>
    <row r="85" spans="1:13" x14ac:dyDescent="0.3">
      <c r="A85" s="174"/>
      <c r="B85" s="180"/>
      <c r="C85" s="177"/>
      <c r="D85" s="141" t="s">
        <v>13</v>
      </c>
      <c r="E85" s="137">
        <v>741</v>
      </c>
      <c r="F85" s="54" t="s">
        <v>166</v>
      </c>
      <c r="G85" s="30">
        <f t="shared" si="49"/>
        <v>325352056.23999995</v>
      </c>
      <c r="H85" s="30">
        <f>H95</f>
        <v>0</v>
      </c>
      <c r="I85" s="30">
        <f t="shared" ref="I85:M86" si="52">I95</f>
        <v>0</v>
      </c>
      <c r="J85" s="30">
        <f t="shared" si="52"/>
        <v>0</v>
      </c>
      <c r="K85" s="30">
        <f t="shared" si="52"/>
        <v>0</v>
      </c>
      <c r="L85" s="30">
        <f t="shared" si="52"/>
        <v>56651619.210000001</v>
      </c>
      <c r="M85" s="30">
        <f t="shared" si="52"/>
        <v>268700437.02999997</v>
      </c>
    </row>
    <row r="86" spans="1:13" ht="30.6" x14ac:dyDescent="0.3">
      <c r="A86" s="175"/>
      <c r="B86" s="181"/>
      <c r="C86" s="178"/>
      <c r="D86" s="141" t="s">
        <v>146</v>
      </c>
      <c r="E86" s="137">
        <v>741</v>
      </c>
      <c r="F86" s="54" t="s">
        <v>166</v>
      </c>
      <c r="G86" s="30">
        <f t="shared" si="49"/>
        <v>88527208.689999998</v>
      </c>
      <c r="H86" s="30">
        <f>H96</f>
        <v>1765980</v>
      </c>
      <c r="I86" s="30">
        <f t="shared" si="52"/>
        <v>1934430</v>
      </c>
      <c r="J86" s="30">
        <f t="shared" si="52"/>
        <v>2114330</v>
      </c>
      <c r="K86" s="30">
        <f t="shared" si="52"/>
        <v>0</v>
      </c>
      <c r="L86" s="30">
        <f t="shared" si="52"/>
        <v>44578062.43</v>
      </c>
      <c r="M86" s="30">
        <f t="shared" si="52"/>
        <v>38134406.259999998</v>
      </c>
    </row>
    <row r="87" spans="1:13" ht="30.6" x14ac:dyDescent="0.3">
      <c r="A87" s="138">
        <v>40</v>
      </c>
      <c r="B87" s="140" t="s">
        <v>20</v>
      </c>
      <c r="C87" s="140" t="s">
        <v>62</v>
      </c>
      <c r="D87" s="141" t="s">
        <v>43</v>
      </c>
      <c r="E87" s="137">
        <v>741</v>
      </c>
      <c r="F87" s="54" t="s">
        <v>17</v>
      </c>
      <c r="G87" s="30">
        <f t="shared" si="49"/>
        <v>0</v>
      </c>
      <c r="H87" s="30">
        <f>H88+H90+H92</f>
        <v>0</v>
      </c>
      <c r="I87" s="30">
        <f t="shared" ref="I87:M87" si="53">I88+I90+I92</f>
        <v>0</v>
      </c>
      <c r="J87" s="30">
        <f t="shared" si="53"/>
        <v>0</v>
      </c>
      <c r="K87" s="30">
        <f t="shared" si="53"/>
        <v>0</v>
      </c>
      <c r="L87" s="30">
        <f>L88+L90+L92</f>
        <v>0</v>
      </c>
      <c r="M87" s="30">
        <f t="shared" si="53"/>
        <v>0</v>
      </c>
    </row>
    <row r="88" spans="1:13" ht="61.5" customHeight="1" x14ac:dyDescent="0.3">
      <c r="A88" s="147">
        <v>41</v>
      </c>
      <c r="B88" s="19" t="s">
        <v>137</v>
      </c>
      <c r="C88" s="140" t="s">
        <v>62</v>
      </c>
      <c r="D88" s="141" t="s">
        <v>43</v>
      </c>
      <c r="E88" s="137">
        <v>741</v>
      </c>
      <c r="F88" s="54" t="s">
        <v>17</v>
      </c>
      <c r="G88" s="30">
        <f t="shared" si="49"/>
        <v>0</v>
      </c>
      <c r="H88" s="30">
        <f>H89</f>
        <v>0</v>
      </c>
      <c r="I88" s="30">
        <f>I89</f>
        <v>0</v>
      </c>
      <c r="J88" s="30">
        <f>J89</f>
        <v>0</v>
      </c>
      <c r="K88" s="31">
        <f>K89</f>
        <v>0</v>
      </c>
      <c r="L88" s="31">
        <f t="shared" ref="L88:M88" si="54">L89</f>
        <v>0</v>
      </c>
      <c r="M88" s="97">
        <f t="shared" si="54"/>
        <v>0</v>
      </c>
    </row>
    <row r="89" spans="1:13" ht="52.5" customHeight="1" x14ac:dyDescent="0.3">
      <c r="A89" s="138">
        <v>42</v>
      </c>
      <c r="B89" s="19" t="s">
        <v>138</v>
      </c>
      <c r="C89" s="140" t="s">
        <v>62</v>
      </c>
      <c r="D89" s="141" t="s">
        <v>43</v>
      </c>
      <c r="E89" s="137">
        <v>741</v>
      </c>
      <c r="F89" s="54" t="s">
        <v>17</v>
      </c>
      <c r="G89" s="30">
        <f t="shared" si="49"/>
        <v>0</v>
      </c>
      <c r="H89" s="30">
        <v>0</v>
      </c>
      <c r="I89" s="30">
        <v>0</v>
      </c>
      <c r="J89" s="30">
        <v>0</v>
      </c>
      <c r="K89" s="31">
        <v>0</v>
      </c>
      <c r="L89" s="31">
        <v>0</v>
      </c>
      <c r="M89" s="97">
        <v>0</v>
      </c>
    </row>
    <row r="90" spans="1:13" ht="62.25" customHeight="1" x14ac:dyDescent="0.3">
      <c r="A90" s="138">
        <v>43</v>
      </c>
      <c r="B90" s="140" t="s">
        <v>23</v>
      </c>
      <c r="C90" s="140" t="s">
        <v>62</v>
      </c>
      <c r="D90" s="141" t="s">
        <v>43</v>
      </c>
      <c r="E90" s="137">
        <v>741</v>
      </c>
      <c r="F90" s="54" t="s">
        <v>17</v>
      </c>
      <c r="G90" s="30">
        <f t="shared" si="49"/>
        <v>0</v>
      </c>
      <c r="H90" s="30">
        <f>H91</f>
        <v>0</v>
      </c>
      <c r="I90" s="30">
        <f>I91</f>
        <v>0</v>
      </c>
      <c r="J90" s="30">
        <f>J91</f>
        <v>0</v>
      </c>
      <c r="K90" s="31">
        <f>K91</f>
        <v>0</v>
      </c>
      <c r="L90" s="31">
        <f t="shared" ref="L90:M90" si="55">L91</f>
        <v>0</v>
      </c>
      <c r="M90" s="97">
        <f t="shared" si="55"/>
        <v>0</v>
      </c>
    </row>
    <row r="91" spans="1:13" ht="61.2" x14ac:dyDescent="0.3">
      <c r="A91" s="138">
        <v>44</v>
      </c>
      <c r="B91" s="140" t="s">
        <v>139</v>
      </c>
      <c r="C91" s="140" t="s">
        <v>62</v>
      </c>
      <c r="D91" s="141" t="s">
        <v>43</v>
      </c>
      <c r="E91" s="137">
        <v>741</v>
      </c>
      <c r="F91" s="54" t="s">
        <v>17</v>
      </c>
      <c r="G91" s="30">
        <f t="shared" si="49"/>
        <v>0</v>
      </c>
      <c r="H91" s="30">
        <v>0</v>
      </c>
      <c r="I91" s="30">
        <v>0</v>
      </c>
      <c r="J91" s="30">
        <v>0</v>
      </c>
      <c r="K91" s="31">
        <v>0</v>
      </c>
      <c r="L91" s="31">
        <v>0</v>
      </c>
      <c r="M91" s="97">
        <v>0</v>
      </c>
    </row>
    <row r="92" spans="1:13" ht="36.75" customHeight="1" x14ac:dyDescent="0.3">
      <c r="A92" s="138">
        <v>45</v>
      </c>
      <c r="B92" s="140" t="s">
        <v>25</v>
      </c>
      <c r="C92" s="140" t="s">
        <v>62</v>
      </c>
      <c r="D92" s="141" t="s">
        <v>43</v>
      </c>
      <c r="E92" s="137">
        <v>741</v>
      </c>
      <c r="F92" s="54" t="s">
        <v>17</v>
      </c>
      <c r="G92" s="30">
        <f t="shared" si="49"/>
        <v>0</v>
      </c>
      <c r="H92" s="30">
        <f>H93</f>
        <v>0</v>
      </c>
      <c r="I92" s="30">
        <f>I93</f>
        <v>0</v>
      </c>
      <c r="J92" s="30">
        <f>J93</f>
        <v>0</v>
      </c>
      <c r="K92" s="31">
        <f>K93</f>
        <v>0</v>
      </c>
      <c r="L92" s="31">
        <f t="shared" ref="L92:M92" si="56">L93</f>
        <v>0</v>
      </c>
      <c r="M92" s="97">
        <f t="shared" si="56"/>
        <v>0</v>
      </c>
    </row>
    <row r="93" spans="1:13" ht="72" customHeight="1" x14ac:dyDescent="0.3">
      <c r="A93" s="138">
        <v>46</v>
      </c>
      <c r="B93" s="140" t="s">
        <v>26</v>
      </c>
      <c r="C93" s="140" t="s">
        <v>62</v>
      </c>
      <c r="D93" s="141" t="s">
        <v>43</v>
      </c>
      <c r="E93" s="137">
        <v>741</v>
      </c>
      <c r="F93" s="54" t="s">
        <v>17</v>
      </c>
      <c r="G93" s="30">
        <f t="shared" si="49"/>
        <v>0</v>
      </c>
      <c r="H93" s="30">
        <v>0</v>
      </c>
      <c r="I93" s="30">
        <v>0</v>
      </c>
      <c r="J93" s="30">
        <v>0</v>
      </c>
      <c r="K93" s="31">
        <v>0</v>
      </c>
      <c r="L93" s="31">
        <v>0</v>
      </c>
      <c r="M93" s="97">
        <v>0</v>
      </c>
    </row>
    <row r="94" spans="1:13" ht="19.5" customHeight="1" x14ac:dyDescent="0.3">
      <c r="A94" s="173">
        <v>47</v>
      </c>
      <c r="B94" s="167" t="s">
        <v>64</v>
      </c>
      <c r="C94" s="167" t="s">
        <v>62</v>
      </c>
      <c r="D94" s="141" t="s">
        <v>1</v>
      </c>
      <c r="E94" s="137">
        <v>741</v>
      </c>
      <c r="F94" s="54" t="s">
        <v>17</v>
      </c>
      <c r="G94" s="30">
        <f t="shared" si="49"/>
        <v>413879264.92999995</v>
      </c>
      <c r="H94" s="30">
        <f t="shared" ref="H94:L94" si="57">H95+H96</f>
        <v>1765980</v>
      </c>
      <c r="I94" s="30">
        <f t="shared" si="57"/>
        <v>1934430</v>
      </c>
      <c r="J94" s="30">
        <f t="shared" si="57"/>
        <v>2114330</v>
      </c>
      <c r="K94" s="30">
        <f t="shared" si="57"/>
        <v>0</v>
      </c>
      <c r="L94" s="30">
        <f t="shared" si="57"/>
        <v>101229681.64</v>
      </c>
      <c r="M94" s="30">
        <f>M95+M96</f>
        <v>306834843.28999996</v>
      </c>
    </row>
    <row r="95" spans="1:13" ht="18.75" customHeight="1" x14ac:dyDescent="0.3">
      <c r="A95" s="174"/>
      <c r="B95" s="168"/>
      <c r="C95" s="168"/>
      <c r="D95" s="141" t="s">
        <v>13</v>
      </c>
      <c r="E95" s="137">
        <v>741</v>
      </c>
      <c r="F95" s="54" t="s">
        <v>17</v>
      </c>
      <c r="G95" s="30">
        <f t="shared" si="49"/>
        <v>325352056.23999995</v>
      </c>
      <c r="H95" s="30">
        <f t="shared" ref="H95:K95" si="58">H100</f>
        <v>0</v>
      </c>
      <c r="I95" s="30">
        <f t="shared" si="58"/>
        <v>0</v>
      </c>
      <c r="J95" s="30">
        <f t="shared" si="58"/>
        <v>0</v>
      </c>
      <c r="K95" s="30">
        <f t="shared" si="58"/>
        <v>0</v>
      </c>
      <c r="L95" s="30">
        <f>L100</f>
        <v>56651619.210000001</v>
      </c>
      <c r="M95" s="30">
        <f>M100</f>
        <v>268700437.02999997</v>
      </c>
    </row>
    <row r="96" spans="1:13" ht="33.75" customHeight="1" x14ac:dyDescent="0.3">
      <c r="A96" s="175"/>
      <c r="B96" s="169"/>
      <c r="C96" s="169"/>
      <c r="D96" s="141" t="s">
        <v>146</v>
      </c>
      <c r="E96" s="137">
        <v>741</v>
      </c>
      <c r="F96" s="54" t="s">
        <v>17</v>
      </c>
      <c r="G96" s="30">
        <f t="shared" si="49"/>
        <v>88527208.689999998</v>
      </c>
      <c r="H96" s="30">
        <f>H97+H101</f>
        <v>1765980</v>
      </c>
      <c r="I96" s="30">
        <f t="shared" ref="I96:L96" si="59">I97+I101</f>
        <v>1934430</v>
      </c>
      <c r="J96" s="30">
        <f t="shared" si="59"/>
        <v>2114330</v>
      </c>
      <c r="K96" s="30">
        <f t="shared" si="59"/>
        <v>0</v>
      </c>
      <c r="L96" s="30">
        <f t="shared" si="59"/>
        <v>44578062.43</v>
      </c>
      <c r="M96" s="30">
        <f>M97+M101</f>
        <v>38134406.259999998</v>
      </c>
    </row>
    <row r="97" spans="1:19" ht="59.25" customHeight="1" x14ac:dyDescent="0.3">
      <c r="A97" s="138">
        <v>48</v>
      </c>
      <c r="B97" s="140" t="s">
        <v>57</v>
      </c>
      <c r="C97" s="140" t="s">
        <v>62</v>
      </c>
      <c r="D97" s="141" t="s">
        <v>146</v>
      </c>
      <c r="E97" s="137">
        <v>741</v>
      </c>
      <c r="F97" s="54" t="s">
        <v>17</v>
      </c>
      <c r="G97" s="30">
        <f t="shared" si="49"/>
        <v>7314740</v>
      </c>
      <c r="H97" s="30">
        <f t="shared" ref="H97:M97" si="60">H98</f>
        <v>1765980</v>
      </c>
      <c r="I97" s="30">
        <f t="shared" si="60"/>
        <v>1934430</v>
      </c>
      <c r="J97" s="30">
        <f t="shared" si="60"/>
        <v>2114330</v>
      </c>
      <c r="K97" s="30">
        <f t="shared" si="60"/>
        <v>0</v>
      </c>
      <c r="L97" s="30">
        <f t="shared" si="60"/>
        <v>0</v>
      </c>
      <c r="M97" s="30">
        <f t="shared" si="60"/>
        <v>1500000</v>
      </c>
    </row>
    <row r="98" spans="1:19" ht="59.25" customHeight="1" x14ac:dyDescent="0.3">
      <c r="A98" s="138">
        <v>49</v>
      </c>
      <c r="B98" s="140" t="s">
        <v>160</v>
      </c>
      <c r="C98" s="140" t="s">
        <v>62</v>
      </c>
      <c r="D98" s="141" t="s">
        <v>146</v>
      </c>
      <c r="E98" s="137">
        <v>741</v>
      </c>
      <c r="F98" s="54" t="s">
        <v>111</v>
      </c>
      <c r="G98" s="30">
        <f t="shared" si="49"/>
        <v>7314740</v>
      </c>
      <c r="H98" s="30">
        <v>1765980</v>
      </c>
      <c r="I98" s="30">
        <v>1934430</v>
      </c>
      <c r="J98" s="30">
        <v>2114330</v>
      </c>
      <c r="K98" s="31">
        <v>0</v>
      </c>
      <c r="L98" s="31">
        <v>0</v>
      </c>
      <c r="M98" s="97">
        <v>1500000</v>
      </c>
    </row>
    <row r="99" spans="1:19" ht="15" customHeight="1" x14ac:dyDescent="0.3">
      <c r="A99" s="173">
        <v>50</v>
      </c>
      <c r="B99" s="167" t="s">
        <v>143</v>
      </c>
      <c r="C99" s="176" t="s">
        <v>62</v>
      </c>
      <c r="D99" s="141" t="s">
        <v>1</v>
      </c>
      <c r="E99" s="137">
        <v>741</v>
      </c>
      <c r="F99" s="54" t="s">
        <v>17</v>
      </c>
      <c r="G99" s="30">
        <f t="shared" si="49"/>
        <v>406564524.92999995</v>
      </c>
      <c r="H99" s="30">
        <f>H100+H101</f>
        <v>0</v>
      </c>
      <c r="I99" s="30">
        <f t="shared" ref="I99:L99" si="61">I100+I101</f>
        <v>0</v>
      </c>
      <c r="J99" s="30">
        <f t="shared" si="61"/>
        <v>0</v>
      </c>
      <c r="K99" s="30">
        <f t="shared" si="61"/>
        <v>0</v>
      </c>
      <c r="L99" s="30">
        <f t="shared" si="61"/>
        <v>101229681.64</v>
      </c>
      <c r="M99" s="30">
        <f>M100+M101</f>
        <v>305334843.28999996</v>
      </c>
    </row>
    <row r="100" spans="1:19" x14ac:dyDescent="0.3">
      <c r="A100" s="174"/>
      <c r="B100" s="168"/>
      <c r="C100" s="177"/>
      <c r="D100" s="141" t="s">
        <v>13</v>
      </c>
      <c r="E100" s="137">
        <v>741</v>
      </c>
      <c r="F100" s="54" t="s">
        <v>17</v>
      </c>
      <c r="G100" s="30">
        <f t="shared" si="49"/>
        <v>325352056.23999995</v>
      </c>
      <c r="H100" s="30">
        <f>H103</f>
        <v>0</v>
      </c>
      <c r="I100" s="30">
        <f t="shared" ref="I100:M101" si="62">I103</f>
        <v>0</v>
      </c>
      <c r="J100" s="30">
        <f t="shared" si="62"/>
        <v>0</v>
      </c>
      <c r="K100" s="30">
        <f t="shared" si="62"/>
        <v>0</v>
      </c>
      <c r="L100" s="30">
        <f t="shared" si="62"/>
        <v>56651619.210000001</v>
      </c>
      <c r="M100" s="30">
        <f t="shared" si="62"/>
        <v>268700437.02999997</v>
      </c>
    </row>
    <row r="101" spans="1:19" s="35" customFormat="1" ht="30.6" x14ac:dyDescent="0.3">
      <c r="A101" s="175"/>
      <c r="B101" s="169"/>
      <c r="C101" s="178"/>
      <c r="D101" s="141" t="s">
        <v>146</v>
      </c>
      <c r="E101" s="137">
        <v>741</v>
      </c>
      <c r="F101" s="54" t="s">
        <v>17</v>
      </c>
      <c r="G101" s="30">
        <f t="shared" si="49"/>
        <v>81212468.689999998</v>
      </c>
      <c r="H101" s="30">
        <f>H104</f>
        <v>0</v>
      </c>
      <c r="I101" s="30">
        <f t="shared" si="62"/>
        <v>0</v>
      </c>
      <c r="J101" s="30">
        <f t="shared" si="62"/>
        <v>0</v>
      </c>
      <c r="K101" s="30">
        <f t="shared" si="62"/>
        <v>0</v>
      </c>
      <c r="L101" s="30">
        <f t="shared" si="62"/>
        <v>44578062.43</v>
      </c>
      <c r="M101" s="30">
        <f>M104+M115</f>
        <v>36634406.259999998</v>
      </c>
    </row>
    <row r="102" spans="1:19" s="35" customFormat="1" ht="15" customHeight="1" x14ac:dyDescent="0.3">
      <c r="A102" s="173">
        <v>51</v>
      </c>
      <c r="B102" s="167" t="s">
        <v>144</v>
      </c>
      <c r="C102" s="176" t="s">
        <v>62</v>
      </c>
      <c r="D102" s="141" t="s">
        <v>1</v>
      </c>
      <c r="E102" s="137">
        <v>741</v>
      </c>
      <c r="F102" s="54" t="s">
        <v>166</v>
      </c>
      <c r="G102" s="30">
        <f t="shared" si="49"/>
        <v>398869444.73999995</v>
      </c>
      <c r="H102" s="30">
        <f>H103+H104</f>
        <v>0</v>
      </c>
      <c r="I102" s="30">
        <f t="shared" ref="I102:M102" si="63">I103+I104</f>
        <v>0</v>
      </c>
      <c r="J102" s="30">
        <f t="shared" si="63"/>
        <v>0</v>
      </c>
      <c r="K102" s="30">
        <f t="shared" si="63"/>
        <v>0</v>
      </c>
      <c r="L102" s="30">
        <f t="shared" si="63"/>
        <v>101229681.64</v>
      </c>
      <c r="M102" s="30">
        <f t="shared" si="63"/>
        <v>297639763.09999996</v>
      </c>
    </row>
    <row r="103" spans="1:19" s="35" customFormat="1" x14ac:dyDescent="0.3">
      <c r="A103" s="174"/>
      <c r="B103" s="168"/>
      <c r="C103" s="177"/>
      <c r="D103" s="141" t="s">
        <v>13</v>
      </c>
      <c r="E103" s="137">
        <v>741</v>
      </c>
      <c r="F103" s="54" t="s">
        <v>166</v>
      </c>
      <c r="G103" s="30">
        <f t="shared" si="49"/>
        <v>325352056.23999995</v>
      </c>
      <c r="H103" s="30">
        <v>0</v>
      </c>
      <c r="I103" s="30">
        <v>0</v>
      </c>
      <c r="J103" s="30">
        <v>0</v>
      </c>
      <c r="K103" s="30">
        <v>0</v>
      </c>
      <c r="L103" s="97">
        <f>L113+L110</f>
        <v>56651619.210000001</v>
      </c>
      <c r="M103" s="97">
        <f>M106</f>
        <v>268700437.02999997</v>
      </c>
    </row>
    <row r="104" spans="1:19" s="35" customFormat="1" ht="30.6" x14ac:dyDescent="0.3">
      <c r="A104" s="174"/>
      <c r="B104" s="168"/>
      <c r="C104" s="177"/>
      <c r="D104" s="141" t="s">
        <v>41</v>
      </c>
      <c r="E104" s="137">
        <v>741</v>
      </c>
      <c r="F104" s="54" t="s">
        <v>166</v>
      </c>
      <c r="G104" s="30">
        <f t="shared" si="49"/>
        <v>73517388.5</v>
      </c>
      <c r="H104" s="30">
        <v>0</v>
      </c>
      <c r="I104" s="30">
        <v>0</v>
      </c>
      <c r="J104" s="30">
        <v>0</v>
      </c>
      <c r="K104" s="30">
        <v>0</v>
      </c>
      <c r="L104" s="97">
        <f>L114+L111</f>
        <v>44578062.43</v>
      </c>
      <c r="M104" s="97">
        <f>M107+M108</f>
        <v>28939326.07</v>
      </c>
      <c r="R104" s="106" t="s">
        <v>171</v>
      </c>
      <c r="S104" s="104" t="s">
        <v>169</v>
      </c>
    </row>
    <row r="105" spans="1:19" s="35" customFormat="1" x14ac:dyDescent="0.3">
      <c r="A105" s="174"/>
      <c r="B105" s="168"/>
      <c r="C105" s="177"/>
      <c r="D105" s="141" t="s">
        <v>1</v>
      </c>
      <c r="E105" s="137">
        <v>741</v>
      </c>
      <c r="F105" s="54" t="s">
        <v>17</v>
      </c>
      <c r="G105" s="30">
        <f t="shared" si="49"/>
        <v>297639763.09999996</v>
      </c>
      <c r="H105" s="30">
        <f>H106+H108</f>
        <v>0</v>
      </c>
      <c r="I105" s="30">
        <f t="shared" ref="I105:L105" si="64">I106+I108</f>
        <v>0</v>
      </c>
      <c r="J105" s="30">
        <f t="shared" si="64"/>
        <v>0</v>
      </c>
      <c r="K105" s="30">
        <f t="shared" si="64"/>
        <v>0</v>
      </c>
      <c r="L105" s="30">
        <f t="shared" si="64"/>
        <v>0</v>
      </c>
      <c r="M105" s="30">
        <f>M106+M107+M108</f>
        <v>297639763.09999996</v>
      </c>
      <c r="Q105" s="105" t="s">
        <v>1</v>
      </c>
      <c r="R105" s="107">
        <f>R106+R107+R108</f>
        <v>295275205.53000003</v>
      </c>
      <c r="S105" s="35">
        <f>S106+S107+S108</f>
        <v>0</v>
      </c>
    </row>
    <row r="106" spans="1:19" s="35" customFormat="1" ht="20.399999999999999" x14ac:dyDescent="0.3">
      <c r="A106" s="174"/>
      <c r="B106" s="168"/>
      <c r="C106" s="177"/>
      <c r="D106" s="141" t="s">
        <v>13</v>
      </c>
      <c r="E106" s="137">
        <v>741</v>
      </c>
      <c r="F106" s="54" t="s">
        <v>165</v>
      </c>
      <c r="G106" s="30">
        <f t="shared" si="49"/>
        <v>268700437.02999997</v>
      </c>
      <c r="H106" s="30">
        <v>0</v>
      </c>
      <c r="I106" s="30">
        <v>0</v>
      </c>
      <c r="J106" s="30">
        <v>0</v>
      </c>
      <c r="K106" s="30">
        <v>0</v>
      </c>
      <c r="L106" s="97">
        <v>0</v>
      </c>
      <c r="M106" s="97">
        <v>268700437.02999997</v>
      </c>
      <c r="N106" s="35" t="s">
        <v>161</v>
      </c>
      <c r="Q106" s="105" t="s">
        <v>119</v>
      </c>
      <c r="R106" s="107">
        <v>234655976.15000001</v>
      </c>
    </row>
    <row r="107" spans="1:19" s="35" customFormat="1" ht="30.6" x14ac:dyDescent="0.3">
      <c r="A107" s="174"/>
      <c r="B107" s="168"/>
      <c r="C107" s="177"/>
      <c r="D107" s="141" t="s">
        <v>146</v>
      </c>
      <c r="E107" s="137">
        <v>741</v>
      </c>
      <c r="F107" s="54" t="s">
        <v>165</v>
      </c>
      <c r="G107" s="30">
        <f t="shared" si="49"/>
        <v>26574768.5</v>
      </c>
      <c r="H107" s="30">
        <v>0</v>
      </c>
      <c r="I107" s="30">
        <v>0</v>
      </c>
      <c r="J107" s="30">
        <v>0</v>
      </c>
      <c r="K107" s="30">
        <v>0</v>
      </c>
      <c r="L107" s="97">
        <v>0</v>
      </c>
      <c r="M107" s="97">
        <v>26574768.5</v>
      </c>
      <c r="N107" s="35" t="s">
        <v>167</v>
      </c>
      <c r="Q107" s="105" t="s">
        <v>13</v>
      </c>
      <c r="R107" s="107">
        <v>34044460.880000003</v>
      </c>
    </row>
    <row r="108" spans="1:19" s="35" customFormat="1" ht="19.8" customHeight="1" x14ac:dyDescent="0.3">
      <c r="A108" s="174"/>
      <c r="B108" s="168"/>
      <c r="C108" s="177"/>
      <c r="D108" s="141" t="s">
        <v>146</v>
      </c>
      <c r="E108" s="137">
        <v>741</v>
      </c>
      <c r="F108" s="54" t="s">
        <v>164</v>
      </c>
      <c r="G108" s="30">
        <f t="shared" si="49"/>
        <v>2364557.5699999998</v>
      </c>
      <c r="H108" s="30">
        <v>0</v>
      </c>
      <c r="I108" s="30">
        <v>0</v>
      </c>
      <c r="J108" s="30">
        <v>0</v>
      </c>
      <c r="K108" s="30">
        <v>0</v>
      </c>
      <c r="L108" s="97">
        <v>0</v>
      </c>
      <c r="M108" s="97">
        <f>5876848.8-3512291.23</f>
        <v>2364557.5699999998</v>
      </c>
      <c r="N108" s="35" t="s">
        <v>162</v>
      </c>
      <c r="O108" s="121">
        <v>-3512291.23</v>
      </c>
      <c r="Q108" s="105" t="s">
        <v>146</v>
      </c>
      <c r="R108" s="107">
        <v>26574768.5</v>
      </c>
    </row>
    <row r="109" spans="1:19" s="35" customFormat="1" ht="15" customHeight="1" x14ac:dyDescent="0.3">
      <c r="A109" s="174"/>
      <c r="B109" s="168"/>
      <c r="C109" s="177"/>
      <c r="D109" s="141" t="s">
        <v>1</v>
      </c>
      <c r="E109" s="137">
        <v>741</v>
      </c>
      <c r="F109" s="54" t="s">
        <v>17</v>
      </c>
      <c r="G109" s="30">
        <f t="shared" si="49"/>
        <v>15995900.24</v>
      </c>
      <c r="H109" s="30">
        <f>H110+H111</f>
        <v>0</v>
      </c>
      <c r="I109" s="30">
        <f t="shared" ref="I109:M109" si="65">I110+I111</f>
        <v>0</v>
      </c>
      <c r="J109" s="30">
        <f t="shared" si="65"/>
        <v>0</v>
      </c>
      <c r="K109" s="30">
        <f t="shared" si="65"/>
        <v>0</v>
      </c>
      <c r="L109" s="30">
        <f t="shared" si="65"/>
        <v>15995900.24</v>
      </c>
      <c r="M109" s="30">
        <f t="shared" si="65"/>
        <v>0</v>
      </c>
      <c r="N109" s="35" t="s">
        <v>161</v>
      </c>
    </row>
    <row r="110" spans="1:19" s="35" customFormat="1" x14ac:dyDescent="0.3">
      <c r="A110" s="174"/>
      <c r="B110" s="168"/>
      <c r="C110" s="177"/>
      <c r="D110" s="141" t="s">
        <v>13</v>
      </c>
      <c r="E110" s="137">
        <v>741</v>
      </c>
      <c r="F110" s="54" t="s">
        <v>141</v>
      </c>
      <c r="G110" s="30">
        <f t="shared" si="49"/>
        <v>14556269.210000001</v>
      </c>
      <c r="H110" s="30">
        <v>0</v>
      </c>
      <c r="I110" s="30">
        <v>0</v>
      </c>
      <c r="J110" s="30">
        <v>0</v>
      </c>
      <c r="K110" s="30">
        <v>0</v>
      </c>
      <c r="L110" s="97">
        <v>14556269.210000001</v>
      </c>
      <c r="M110" s="97">
        <v>0</v>
      </c>
    </row>
    <row r="111" spans="1:19" s="35" customFormat="1" ht="30.6" x14ac:dyDescent="0.3">
      <c r="A111" s="174"/>
      <c r="B111" s="168"/>
      <c r="C111" s="177"/>
      <c r="D111" s="141" t="s">
        <v>146</v>
      </c>
      <c r="E111" s="137">
        <v>741</v>
      </c>
      <c r="F111" s="54" t="s">
        <v>141</v>
      </c>
      <c r="G111" s="30">
        <f t="shared" si="49"/>
        <v>1439631.03</v>
      </c>
      <c r="H111" s="30">
        <v>0</v>
      </c>
      <c r="I111" s="30">
        <v>0</v>
      </c>
      <c r="J111" s="30">
        <v>0</v>
      </c>
      <c r="K111" s="30">
        <v>0</v>
      </c>
      <c r="L111" s="97">
        <v>1439631.03</v>
      </c>
      <c r="M111" s="97">
        <v>0</v>
      </c>
    </row>
    <row r="112" spans="1:19" s="35" customFormat="1" x14ac:dyDescent="0.3">
      <c r="A112" s="174"/>
      <c r="B112" s="168"/>
      <c r="C112" s="177"/>
      <c r="D112" s="141" t="s">
        <v>1</v>
      </c>
      <c r="E112" s="137">
        <v>741</v>
      </c>
      <c r="F112" s="54" t="s">
        <v>17</v>
      </c>
      <c r="G112" s="30">
        <f t="shared" si="49"/>
        <v>85233781.400000006</v>
      </c>
      <c r="H112" s="30">
        <f>H113+H114</f>
        <v>0</v>
      </c>
      <c r="I112" s="30">
        <f t="shared" ref="I112:M112" si="66">I113+I114</f>
        <v>0</v>
      </c>
      <c r="J112" s="30">
        <f t="shared" si="66"/>
        <v>0</v>
      </c>
      <c r="K112" s="30">
        <f t="shared" si="66"/>
        <v>0</v>
      </c>
      <c r="L112" s="30">
        <f t="shared" si="66"/>
        <v>85233781.400000006</v>
      </c>
      <c r="M112" s="30">
        <f t="shared" si="66"/>
        <v>0</v>
      </c>
      <c r="N112" s="35" t="s">
        <v>163</v>
      </c>
    </row>
    <row r="113" spans="1:15" s="35" customFormat="1" x14ac:dyDescent="0.3">
      <c r="A113" s="174"/>
      <c r="B113" s="168"/>
      <c r="C113" s="177"/>
      <c r="D113" s="141" t="s">
        <v>13</v>
      </c>
      <c r="E113" s="137">
        <v>741</v>
      </c>
      <c r="F113" s="54" t="s">
        <v>142</v>
      </c>
      <c r="G113" s="30">
        <f t="shared" si="49"/>
        <v>42095350</v>
      </c>
      <c r="H113" s="30">
        <v>0</v>
      </c>
      <c r="I113" s="30">
        <v>0</v>
      </c>
      <c r="J113" s="30">
        <v>0</v>
      </c>
      <c r="K113" s="30">
        <v>0</v>
      </c>
      <c r="L113" s="97">
        <v>42095350</v>
      </c>
      <c r="M113" s="97">
        <v>0</v>
      </c>
    </row>
    <row r="114" spans="1:15" s="35" customFormat="1" ht="35.25" customHeight="1" x14ac:dyDescent="0.3">
      <c r="A114" s="175"/>
      <c r="B114" s="169"/>
      <c r="C114" s="178"/>
      <c r="D114" s="141" t="s">
        <v>146</v>
      </c>
      <c r="E114" s="137">
        <v>741</v>
      </c>
      <c r="F114" s="54" t="s">
        <v>111</v>
      </c>
      <c r="G114" s="30">
        <f>H114+I114+J114+K114+L114+M114</f>
        <v>43138431.399999999</v>
      </c>
      <c r="H114" s="30">
        <v>0</v>
      </c>
      <c r="I114" s="30">
        <v>0</v>
      </c>
      <c r="J114" s="30">
        <v>0</v>
      </c>
      <c r="K114" s="30">
        <v>0</v>
      </c>
      <c r="L114" s="97">
        <v>43138431.399999999</v>
      </c>
      <c r="M114" s="97">
        <v>0</v>
      </c>
    </row>
    <row r="115" spans="1:15" s="88" customFormat="1" ht="47.25" customHeight="1" x14ac:dyDescent="0.3">
      <c r="A115" s="149">
        <v>52</v>
      </c>
      <c r="B115" s="144" t="s">
        <v>183</v>
      </c>
      <c r="C115" s="144" t="s">
        <v>62</v>
      </c>
      <c r="D115" s="141" t="s">
        <v>146</v>
      </c>
      <c r="E115" s="137">
        <v>741</v>
      </c>
      <c r="F115" s="54" t="s">
        <v>173</v>
      </c>
      <c r="G115" s="30">
        <f>H115+I115+J115+K115+L115+M115</f>
        <v>7695080.1900000004</v>
      </c>
      <c r="H115" s="30">
        <v>0</v>
      </c>
      <c r="I115" s="30">
        <v>0</v>
      </c>
      <c r="J115" s="30">
        <v>0</v>
      </c>
      <c r="K115" s="30">
        <v>0</v>
      </c>
      <c r="L115" s="97">
        <v>0</v>
      </c>
      <c r="M115" s="97">
        <v>7695080.1900000004</v>
      </c>
      <c r="O115" s="121">
        <v>7695080.1900000004</v>
      </c>
    </row>
    <row r="116" spans="1:15" ht="72.75" customHeight="1" x14ac:dyDescent="0.3">
      <c r="A116" s="147">
        <v>53</v>
      </c>
      <c r="B116" s="139" t="s">
        <v>45</v>
      </c>
      <c r="C116" s="140" t="s">
        <v>60</v>
      </c>
      <c r="D116" s="141" t="s">
        <v>146</v>
      </c>
      <c r="E116" s="54" t="s">
        <v>17</v>
      </c>
      <c r="F116" s="54" t="s">
        <v>17</v>
      </c>
      <c r="G116" s="30">
        <f t="shared" si="49"/>
        <v>11313500</v>
      </c>
      <c r="H116" s="30">
        <f t="shared" ref="H116:J116" si="67">H118+H120+H122+H124+H126</f>
        <v>11313500</v>
      </c>
      <c r="I116" s="30">
        <f t="shared" si="67"/>
        <v>0</v>
      </c>
      <c r="J116" s="30">
        <f t="shared" si="67"/>
        <v>0</v>
      </c>
      <c r="K116" s="30">
        <f>K117</f>
        <v>0</v>
      </c>
      <c r="L116" s="30">
        <f t="shared" ref="L116:M116" si="68">L117</f>
        <v>0</v>
      </c>
      <c r="M116" s="30">
        <f t="shared" si="68"/>
        <v>0</v>
      </c>
    </row>
    <row r="117" spans="1:15" ht="73.5" customHeight="1" x14ac:dyDescent="0.3">
      <c r="A117" s="147">
        <v>54</v>
      </c>
      <c r="B117" s="140" t="s">
        <v>27</v>
      </c>
      <c r="C117" s="140" t="s">
        <v>60</v>
      </c>
      <c r="D117" s="141" t="s">
        <v>146</v>
      </c>
      <c r="E117" s="54" t="s">
        <v>17</v>
      </c>
      <c r="F117" s="54" t="s">
        <v>17</v>
      </c>
      <c r="G117" s="30">
        <f t="shared" si="49"/>
        <v>11162472</v>
      </c>
      <c r="H117" s="30">
        <f t="shared" ref="H117:J118" si="69">H118</f>
        <v>11162472</v>
      </c>
      <c r="I117" s="30">
        <f t="shared" si="69"/>
        <v>0</v>
      </c>
      <c r="J117" s="30">
        <f t="shared" si="69"/>
        <v>0</v>
      </c>
      <c r="K117" s="30">
        <f>K118+K120+K122+K124+K126</f>
        <v>0</v>
      </c>
      <c r="L117" s="30">
        <f t="shared" ref="L117:M117" si="70">L118+L120+L122+L124+L126</f>
        <v>0</v>
      </c>
      <c r="M117" s="30">
        <f t="shared" si="70"/>
        <v>0</v>
      </c>
    </row>
    <row r="118" spans="1:15" ht="40.799999999999997" x14ac:dyDescent="0.3">
      <c r="A118" s="147">
        <v>55</v>
      </c>
      <c r="B118" s="140" t="s">
        <v>28</v>
      </c>
      <c r="C118" s="140" t="s">
        <v>62</v>
      </c>
      <c r="D118" s="141" t="s">
        <v>146</v>
      </c>
      <c r="E118" s="137">
        <v>741</v>
      </c>
      <c r="F118" s="54" t="s">
        <v>17</v>
      </c>
      <c r="G118" s="30">
        <f t="shared" si="49"/>
        <v>11162472</v>
      </c>
      <c r="H118" s="30">
        <f t="shared" si="69"/>
        <v>11162472</v>
      </c>
      <c r="I118" s="30">
        <f t="shared" si="69"/>
        <v>0</v>
      </c>
      <c r="J118" s="30">
        <f t="shared" si="69"/>
        <v>0</v>
      </c>
      <c r="K118" s="30">
        <f>K119</f>
        <v>0</v>
      </c>
      <c r="L118" s="30">
        <f t="shared" ref="L118:M118" si="71">L119</f>
        <v>0</v>
      </c>
      <c r="M118" s="30">
        <f t="shared" si="71"/>
        <v>0</v>
      </c>
    </row>
    <row r="119" spans="1:15" ht="50.25" customHeight="1" x14ac:dyDescent="0.3">
      <c r="A119" s="147">
        <v>56</v>
      </c>
      <c r="B119" s="140" t="s">
        <v>29</v>
      </c>
      <c r="C119" s="140" t="s">
        <v>62</v>
      </c>
      <c r="D119" s="141" t="s">
        <v>146</v>
      </c>
      <c r="E119" s="137">
        <v>741</v>
      </c>
      <c r="F119" s="54" t="s">
        <v>17</v>
      </c>
      <c r="G119" s="30">
        <f t="shared" si="49"/>
        <v>11162472</v>
      </c>
      <c r="H119" s="30">
        <v>11162472</v>
      </c>
      <c r="I119" s="30">
        <v>0</v>
      </c>
      <c r="J119" s="30">
        <v>0</v>
      </c>
      <c r="K119" s="31">
        <v>0</v>
      </c>
      <c r="L119" s="31">
        <v>0</v>
      </c>
      <c r="M119" s="97">
        <v>0</v>
      </c>
    </row>
    <row r="120" spans="1:15" ht="38.25" customHeight="1" x14ac:dyDescent="0.3">
      <c r="A120" s="147">
        <v>57</v>
      </c>
      <c r="B120" s="140" t="s">
        <v>30</v>
      </c>
      <c r="C120" s="140" t="s">
        <v>62</v>
      </c>
      <c r="D120" s="141" t="s">
        <v>43</v>
      </c>
      <c r="E120" s="137">
        <v>741</v>
      </c>
      <c r="F120" s="54" t="s">
        <v>17</v>
      </c>
      <c r="G120" s="30">
        <f t="shared" si="49"/>
        <v>0</v>
      </c>
      <c r="H120" s="30">
        <f>H121</f>
        <v>0</v>
      </c>
      <c r="I120" s="30">
        <f>I121</f>
        <v>0</v>
      </c>
      <c r="J120" s="30">
        <f>J121</f>
        <v>0</v>
      </c>
      <c r="K120" s="31">
        <f>K121</f>
        <v>0</v>
      </c>
      <c r="L120" s="31">
        <f t="shared" ref="L120:M120" si="72">L121</f>
        <v>0</v>
      </c>
      <c r="M120" s="97">
        <f t="shared" si="72"/>
        <v>0</v>
      </c>
    </row>
    <row r="121" spans="1:15" ht="30.6" x14ac:dyDescent="0.3">
      <c r="A121" s="147">
        <v>58</v>
      </c>
      <c r="B121" s="140" t="s">
        <v>31</v>
      </c>
      <c r="C121" s="140" t="s">
        <v>62</v>
      </c>
      <c r="D121" s="141" t="s">
        <v>43</v>
      </c>
      <c r="E121" s="137">
        <v>741</v>
      </c>
      <c r="F121" s="54" t="s">
        <v>17</v>
      </c>
      <c r="G121" s="30">
        <f t="shared" si="49"/>
        <v>0</v>
      </c>
      <c r="H121" s="30">
        <v>0</v>
      </c>
      <c r="I121" s="30">
        <v>0</v>
      </c>
      <c r="J121" s="30">
        <v>0</v>
      </c>
      <c r="K121" s="31">
        <v>0</v>
      </c>
      <c r="L121" s="31">
        <v>0</v>
      </c>
      <c r="M121" s="97">
        <v>0</v>
      </c>
    </row>
    <row r="122" spans="1:15" ht="40.799999999999997" x14ac:dyDescent="0.3">
      <c r="A122" s="147">
        <v>59</v>
      </c>
      <c r="B122" s="140" t="s">
        <v>32</v>
      </c>
      <c r="C122" s="140" t="s">
        <v>62</v>
      </c>
      <c r="D122" s="141" t="s">
        <v>43</v>
      </c>
      <c r="E122" s="137">
        <v>741</v>
      </c>
      <c r="F122" s="54" t="s">
        <v>17</v>
      </c>
      <c r="G122" s="30">
        <f t="shared" si="49"/>
        <v>0</v>
      </c>
      <c r="H122" s="30">
        <f>H123</f>
        <v>0</v>
      </c>
      <c r="I122" s="30">
        <f>I123</f>
        <v>0</v>
      </c>
      <c r="J122" s="30">
        <f>J123</f>
        <v>0</v>
      </c>
      <c r="K122" s="31">
        <f>K123</f>
        <v>0</v>
      </c>
      <c r="L122" s="31">
        <f t="shared" ref="L122:M122" si="73">L123</f>
        <v>0</v>
      </c>
      <c r="M122" s="97">
        <f t="shared" si="73"/>
        <v>0</v>
      </c>
    </row>
    <row r="123" spans="1:15" ht="40.799999999999997" x14ac:dyDescent="0.3">
      <c r="A123" s="147">
        <v>60</v>
      </c>
      <c r="B123" s="140" t="s">
        <v>33</v>
      </c>
      <c r="C123" s="140" t="s">
        <v>62</v>
      </c>
      <c r="D123" s="141" t="s">
        <v>43</v>
      </c>
      <c r="E123" s="137">
        <v>741</v>
      </c>
      <c r="F123" s="54" t="s">
        <v>17</v>
      </c>
      <c r="G123" s="30">
        <f t="shared" si="49"/>
        <v>0</v>
      </c>
      <c r="H123" s="30">
        <v>0</v>
      </c>
      <c r="I123" s="30">
        <v>0</v>
      </c>
      <c r="J123" s="30">
        <v>0</v>
      </c>
      <c r="K123" s="31">
        <v>0</v>
      </c>
      <c r="L123" s="31">
        <v>0</v>
      </c>
      <c r="M123" s="97">
        <v>0</v>
      </c>
    </row>
    <row r="124" spans="1:15" ht="40.799999999999997" x14ac:dyDescent="0.3">
      <c r="A124" s="147">
        <v>61</v>
      </c>
      <c r="B124" s="140" t="s">
        <v>34</v>
      </c>
      <c r="C124" s="90" t="s">
        <v>62</v>
      </c>
      <c r="D124" s="141" t="s">
        <v>43</v>
      </c>
      <c r="E124" s="137">
        <v>741</v>
      </c>
      <c r="F124" s="54" t="s">
        <v>17</v>
      </c>
      <c r="G124" s="30">
        <f t="shared" si="49"/>
        <v>0</v>
      </c>
      <c r="H124" s="30">
        <f>H125</f>
        <v>0</v>
      </c>
      <c r="I124" s="30">
        <f>I125</f>
        <v>0</v>
      </c>
      <c r="J124" s="30">
        <f>J125</f>
        <v>0</v>
      </c>
      <c r="K124" s="31">
        <f>K125</f>
        <v>0</v>
      </c>
      <c r="L124" s="31">
        <f t="shared" ref="L124:M124" si="74">L125</f>
        <v>0</v>
      </c>
      <c r="M124" s="97">
        <f t="shared" si="74"/>
        <v>0</v>
      </c>
    </row>
    <row r="125" spans="1:15" ht="51" x14ac:dyDescent="0.3">
      <c r="A125" s="147">
        <v>62</v>
      </c>
      <c r="B125" s="140" t="s">
        <v>150</v>
      </c>
      <c r="C125" s="90" t="s">
        <v>62</v>
      </c>
      <c r="D125" s="141" t="s">
        <v>43</v>
      </c>
      <c r="E125" s="137">
        <v>741</v>
      </c>
      <c r="F125" s="54" t="s">
        <v>17</v>
      </c>
      <c r="G125" s="30">
        <f t="shared" si="49"/>
        <v>0</v>
      </c>
      <c r="H125" s="30">
        <v>0</v>
      </c>
      <c r="I125" s="30">
        <v>0</v>
      </c>
      <c r="J125" s="30">
        <v>0</v>
      </c>
      <c r="K125" s="31">
        <v>0</v>
      </c>
      <c r="L125" s="31">
        <v>0</v>
      </c>
      <c r="M125" s="97">
        <v>0</v>
      </c>
    </row>
    <row r="126" spans="1:15" ht="69.75" customHeight="1" x14ac:dyDescent="0.3">
      <c r="A126" s="147">
        <v>63</v>
      </c>
      <c r="B126" s="140" t="s">
        <v>36</v>
      </c>
      <c r="C126" s="90" t="s">
        <v>60</v>
      </c>
      <c r="D126" s="141" t="s">
        <v>41</v>
      </c>
      <c r="E126" s="137" t="s">
        <v>17</v>
      </c>
      <c r="F126" s="54" t="s">
        <v>17</v>
      </c>
      <c r="G126" s="30">
        <f t="shared" si="49"/>
        <v>151028</v>
      </c>
      <c r="H126" s="30">
        <f t="shared" ref="H126:J126" si="75">H127+H128+H129+H130+H131</f>
        <v>151028</v>
      </c>
      <c r="I126" s="30">
        <f t="shared" si="75"/>
        <v>0</v>
      </c>
      <c r="J126" s="30">
        <f t="shared" si="75"/>
        <v>0</v>
      </c>
      <c r="K126" s="30">
        <f>K127+K128+K129+K130+K131</f>
        <v>0</v>
      </c>
      <c r="L126" s="30">
        <f t="shared" ref="L126:M126" si="76">L127+L128+L129+L130+L131</f>
        <v>0</v>
      </c>
      <c r="M126" s="30">
        <f t="shared" si="76"/>
        <v>0</v>
      </c>
    </row>
    <row r="127" spans="1:15" ht="30.6" x14ac:dyDescent="0.3">
      <c r="A127" s="147">
        <v>64</v>
      </c>
      <c r="B127" s="20" t="s">
        <v>37</v>
      </c>
      <c r="C127" s="140" t="s">
        <v>62</v>
      </c>
      <c r="D127" s="141" t="s">
        <v>43</v>
      </c>
      <c r="E127" s="137">
        <v>741</v>
      </c>
      <c r="F127" s="54" t="s">
        <v>17</v>
      </c>
      <c r="G127" s="30">
        <f t="shared" si="49"/>
        <v>0</v>
      </c>
      <c r="H127" s="30">
        <v>0</v>
      </c>
      <c r="I127" s="30">
        <v>0</v>
      </c>
      <c r="J127" s="30">
        <v>0</v>
      </c>
      <c r="K127" s="31">
        <v>0</v>
      </c>
      <c r="L127" s="31">
        <v>0</v>
      </c>
      <c r="M127" s="97">
        <v>0</v>
      </c>
    </row>
    <row r="128" spans="1:15" ht="40.799999999999997" x14ac:dyDescent="0.3">
      <c r="A128" s="147">
        <v>65</v>
      </c>
      <c r="B128" s="140" t="s">
        <v>38</v>
      </c>
      <c r="C128" s="140" t="s">
        <v>62</v>
      </c>
      <c r="D128" s="141" t="s">
        <v>43</v>
      </c>
      <c r="E128" s="137">
        <v>741</v>
      </c>
      <c r="F128" s="54" t="s">
        <v>17</v>
      </c>
      <c r="G128" s="30">
        <f t="shared" si="49"/>
        <v>0</v>
      </c>
      <c r="H128" s="30">
        <v>0</v>
      </c>
      <c r="I128" s="30">
        <v>0</v>
      </c>
      <c r="J128" s="30">
        <v>0</v>
      </c>
      <c r="K128" s="31">
        <v>0</v>
      </c>
      <c r="L128" s="31">
        <v>0</v>
      </c>
      <c r="M128" s="97">
        <v>0</v>
      </c>
    </row>
    <row r="129" spans="1:15" ht="37.5" customHeight="1" x14ac:dyDescent="0.3">
      <c r="A129" s="147">
        <v>66</v>
      </c>
      <c r="B129" s="140" t="s">
        <v>39</v>
      </c>
      <c r="C129" s="140" t="s">
        <v>62</v>
      </c>
      <c r="D129" s="141" t="s">
        <v>43</v>
      </c>
      <c r="E129" s="137">
        <v>741</v>
      </c>
      <c r="F129" s="54" t="s">
        <v>17</v>
      </c>
      <c r="G129" s="30">
        <f t="shared" si="49"/>
        <v>0</v>
      </c>
      <c r="H129" s="30">
        <v>0</v>
      </c>
      <c r="I129" s="30">
        <v>0</v>
      </c>
      <c r="J129" s="30">
        <v>0</v>
      </c>
      <c r="K129" s="31">
        <v>0</v>
      </c>
      <c r="L129" s="31">
        <v>0</v>
      </c>
      <c r="M129" s="97">
        <v>0</v>
      </c>
    </row>
    <row r="130" spans="1:15" ht="39.75" customHeight="1" x14ac:dyDescent="0.3">
      <c r="A130" s="147">
        <v>67</v>
      </c>
      <c r="B130" s="140" t="s">
        <v>48</v>
      </c>
      <c r="C130" s="140" t="s">
        <v>62</v>
      </c>
      <c r="D130" s="141" t="s">
        <v>43</v>
      </c>
      <c r="E130" s="137">
        <v>741</v>
      </c>
      <c r="F130" s="54" t="s">
        <v>17</v>
      </c>
      <c r="G130" s="30">
        <f t="shared" si="49"/>
        <v>0</v>
      </c>
      <c r="H130" s="30">
        <v>0</v>
      </c>
      <c r="I130" s="30">
        <v>0</v>
      </c>
      <c r="J130" s="30">
        <v>0</v>
      </c>
      <c r="K130" s="31">
        <v>0</v>
      </c>
      <c r="L130" s="31">
        <v>0</v>
      </c>
      <c r="M130" s="97">
        <v>0</v>
      </c>
    </row>
    <row r="131" spans="1:15" ht="36" customHeight="1" x14ac:dyDescent="0.3">
      <c r="A131" s="147">
        <v>68</v>
      </c>
      <c r="B131" s="140" t="s">
        <v>40</v>
      </c>
      <c r="C131" s="140" t="s">
        <v>46</v>
      </c>
      <c r="D131" s="141" t="s">
        <v>146</v>
      </c>
      <c r="E131" s="137">
        <v>739</v>
      </c>
      <c r="F131" s="54" t="s">
        <v>17</v>
      </c>
      <c r="G131" s="30">
        <f t="shared" si="49"/>
        <v>151028</v>
      </c>
      <c r="H131" s="30">
        <v>151028</v>
      </c>
      <c r="I131" s="30">
        <v>0</v>
      </c>
      <c r="J131" s="30">
        <v>0</v>
      </c>
      <c r="K131" s="31">
        <v>0</v>
      </c>
      <c r="L131" s="31">
        <v>0</v>
      </c>
      <c r="M131" s="97">
        <v>0</v>
      </c>
    </row>
    <row r="132" spans="1:15" ht="72" customHeight="1" x14ac:dyDescent="0.3">
      <c r="A132" s="147">
        <v>69</v>
      </c>
      <c r="B132" s="139" t="s">
        <v>149</v>
      </c>
      <c r="C132" s="140" t="s">
        <v>60</v>
      </c>
      <c r="D132" s="141" t="s">
        <v>146</v>
      </c>
      <c r="E132" s="137" t="s">
        <v>17</v>
      </c>
      <c r="F132" s="54" t="s">
        <v>17</v>
      </c>
      <c r="G132" s="30">
        <f t="shared" si="49"/>
        <v>44606727.620000005</v>
      </c>
      <c r="H132" s="30">
        <f t="shared" ref="H132:J132" si="77">H134+H136+H138+H140+H142</f>
        <v>0</v>
      </c>
      <c r="I132" s="30">
        <f t="shared" si="77"/>
        <v>12225545</v>
      </c>
      <c r="J132" s="30">
        <f t="shared" si="77"/>
        <v>12587967.800000001</v>
      </c>
      <c r="K132" s="30">
        <f>K133</f>
        <v>12549583.26</v>
      </c>
      <c r="L132" s="30">
        <f t="shared" ref="L132" si="78">L133</f>
        <v>495295.5</v>
      </c>
      <c r="M132" s="30">
        <f>M133</f>
        <v>6748336.0599999996</v>
      </c>
    </row>
    <row r="133" spans="1:15" ht="75" customHeight="1" x14ac:dyDescent="0.3">
      <c r="A133" s="147">
        <v>70</v>
      </c>
      <c r="B133" s="140" t="s">
        <v>27</v>
      </c>
      <c r="C133" s="140" t="s">
        <v>60</v>
      </c>
      <c r="D133" s="141" t="s">
        <v>146</v>
      </c>
      <c r="E133" s="137" t="s">
        <v>17</v>
      </c>
      <c r="F133" s="54" t="s">
        <v>17</v>
      </c>
      <c r="G133" s="30">
        <f t="shared" si="49"/>
        <v>44304732.620000005</v>
      </c>
      <c r="H133" s="30">
        <f t="shared" ref="H133:L134" si="79">H134</f>
        <v>0</v>
      </c>
      <c r="I133" s="30">
        <f t="shared" si="79"/>
        <v>12074550</v>
      </c>
      <c r="J133" s="30">
        <f t="shared" si="79"/>
        <v>12436967.800000001</v>
      </c>
      <c r="K133" s="30">
        <f>K134+K136++K138+K140+K142</f>
        <v>12549583.26</v>
      </c>
      <c r="L133" s="30">
        <f>L134+L136++L138+L140+L142</f>
        <v>495295.5</v>
      </c>
      <c r="M133" s="30">
        <f>M134+M136++M138+M140+M142</f>
        <v>6748336.0599999996</v>
      </c>
    </row>
    <row r="134" spans="1:15" ht="30.6" x14ac:dyDescent="0.3">
      <c r="A134" s="147">
        <v>71</v>
      </c>
      <c r="B134" s="140" t="s">
        <v>148</v>
      </c>
      <c r="C134" s="140" t="s">
        <v>62</v>
      </c>
      <c r="D134" s="141" t="s">
        <v>146</v>
      </c>
      <c r="E134" s="137">
        <v>741</v>
      </c>
      <c r="F134" s="54" t="s">
        <v>17</v>
      </c>
      <c r="G134" s="30">
        <f t="shared" si="49"/>
        <v>44012370.530000001</v>
      </c>
      <c r="H134" s="30">
        <f>H135</f>
        <v>0</v>
      </c>
      <c r="I134" s="30">
        <f t="shared" si="79"/>
        <v>12074550</v>
      </c>
      <c r="J134" s="30">
        <f t="shared" si="79"/>
        <v>12436967.800000001</v>
      </c>
      <c r="K134" s="30">
        <f>K135</f>
        <v>12408221.17</v>
      </c>
      <c r="L134" s="30">
        <f t="shared" si="79"/>
        <v>495295.5</v>
      </c>
      <c r="M134" s="30">
        <f>M135</f>
        <v>6597336.0599999996</v>
      </c>
    </row>
    <row r="135" spans="1:15" ht="40.799999999999997" x14ac:dyDescent="0.3">
      <c r="A135" s="147">
        <v>72</v>
      </c>
      <c r="B135" s="140" t="s">
        <v>29</v>
      </c>
      <c r="C135" s="140" t="s">
        <v>62</v>
      </c>
      <c r="D135" s="141" t="s">
        <v>146</v>
      </c>
      <c r="E135" s="137">
        <v>741</v>
      </c>
      <c r="F135" s="54" t="s">
        <v>112</v>
      </c>
      <c r="G135" s="30">
        <f t="shared" si="49"/>
        <v>44012370.530000001</v>
      </c>
      <c r="H135" s="30">
        <v>0</v>
      </c>
      <c r="I135" s="30">
        <v>12074550</v>
      </c>
      <c r="J135" s="30">
        <f>13019800-582832.2</f>
        <v>12436967.800000001</v>
      </c>
      <c r="K135" s="31">
        <v>12408221.17</v>
      </c>
      <c r="L135" s="31">
        <v>495295.5</v>
      </c>
      <c r="M135" s="97">
        <f>13245352-225552-6422463.94</f>
        <v>6597336.0599999996</v>
      </c>
      <c r="O135" s="118">
        <v>-6210194.4400000004</v>
      </c>
    </row>
    <row r="136" spans="1:15" ht="30.6" x14ac:dyDescent="0.3">
      <c r="A136" s="147">
        <v>73</v>
      </c>
      <c r="B136" s="140" t="s">
        <v>30</v>
      </c>
      <c r="C136" s="140" t="s">
        <v>62</v>
      </c>
      <c r="D136" s="141" t="s">
        <v>43</v>
      </c>
      <c r="E136" s="54" t="s">
        <v>130</v>
      </c>
      <c r="F136" s="54" t="s">
        <v>17</v>
      </c>
      <c r="G136" s="30">
        <f t="shared" si="49"/>
        <v>0</v>
      </c>
      <c r="H136" s="30">
        <f>H137</f>
        <v>0</v>
      </c>
      <c r="I136" s="30">
        <f>I137</f>
        <v>0</v>
      </c>
      <c r="J136" s="30">
        <f>J137</f>
        <v>0</v>
      </c>
      <c r="K136" s="31">
        <f>K137</f>
        <v>0</v>
      </c>
      <c r="L136" s="31">
        <f t="shared" ref="L136:M136" si="80">L137</f>
        <v>0</v>
      </c>
      <c r="M136" s="97">
        <f t="shared" si="80"/>
        <v>0</v>
      </c>
    </row>
    <row r="137" spans="1:15" ht="36.75" customHeight="1" x14ac:dyDescent="0.3">
      <c r="A137" s="147">
        <v>74</v>
      </c>
      <c r="B137" s="140" t="s">
        <v>31</v>
      </c>
      <c r="C137" s="140" t="s">
        <v>62</v>
      </c>
      <c r="D137" s="141" t="s">
        <v>43</v>
      </c>
      <c r="E137" s="137">
        <v>741</v>
      </c>
      <c r="F137" s="54" t="s">
        <v>17</v>
      </c>
      <c r="G137" s="30">
        <f t="shared" si="49"/>
        <v>0</v>
      </c>
      <c r="H137" s="30">
        <v>0</v>
      </c>
      <c r="I137" s="30">
        <v>0</v>
      </c>
      <c r="J137" s="30">
        <v>0</v>
      </c>
      <c r="K137" s="31">
        <v>0</v>
      </c>
      <c r="L137" s="31">
        <v>0</v>
      </c>
      <c r="M137" s="97">
        <v>0</v>
      </c>
    </row>
    <row r="138" spans="1:15" ht="40.799999999999997" x14ac:dyDescent="0.3">
      <c r="A138" s="147">
        <v>75</v>
      </c>
      <c r="B138" s="140" t="s">
        <v>32</v>
      </c>
      <c r="C138" s="140" t="s">
        <v>62</v>
      </c>
      <c r="D138" s="141" t="s">
        <v>43</v>
      </c>
      <c r="E138" s="54" t="s">
        <v>130</v>
      </c>
      <c r="F138" s="54" t="s">
        <v>17</v>
      </c>
      <c r="G138" s="30">
        <f t="shared" si="49"/>
        <v>0</v>
      </c>
      <c r="H138" s="30">
        <f>H139</f>
        <v>0</v>
      </c>
      <c r="I138" s="30">
        <f>I139</f>
        <v>0</v>
      </c>
      <c r="J138" s="30">
        <f>J139</f>
        <v>0</v>
      </c>
      <c r="K138" s="31">
        <f>K139</f>
        <v>0</v>
      </c>
      <c r="L138" s="31">
        <f t="shared" ref="L138:M138" si="81">L139</f>
        <v>0</v>
      </c>
      <c r="M138" s="97">
        <f t="shared" si="81"/>
        <v>0</v>
      </c>
    </row>
    <row r="139" spans="1:15" ht="40.799999999999997" x14ac:dyDescent="0.3">
      <c r="A139" s="147">
        <v>76</v>
      </c>
      <c r="B139" s="140" t="s">
        <v>33</v>
      </c>
      <c r="C139" s="90" t="s">
        <v>62</v>
      </c>
      <c r="D139" s="141" t="s">
        <v>43</v>
      </c>
      <c r="E139" s="137">
        <v>741</v>
      </c>
      <c r="F139" s="54" t="s">
        <v>17</v>
      </c>
      <c r="G139" s="30">
        <f t="shared" si="49"/>
        <v>0</v>
      </c>
      <c r="H139" s="30">
        <v>0</v>
      </c>
      <c r="I139" s="30">
        <v>0</v>
      </c>
      <c r="J139" s="30">
        <v>0</v>
      </c>
      <c r="K139" s="31">
        <v>0</v>
      </c>
      <c r="L139" s="31">
        <v>0</v>
      </c>
      <c r="M139" s="97">
        <v>0</v>
      </c>
    </row>
    <row r="140" spans="1:15" ht="40.799999999999997" x14ac:dyDescent="0.3">
      <c r="A140" s="147">
        <v>77</v>
      </c>
      <c r="B140" s="140" t="s">
        <v>34</v>
      </c>
      <c r="C140" s="90" t="s">
        <v>62</v>
      </c>
      <c r="D140" s="141" t="s">
        <v>43</v>
      </c>
      <c r="E140" s="54" t="s">
        <v>130</v>
      </c>
      <c r="F140" s="54" t="s">
        <v>17</v>
      </c>
      <c r="G140" s="30">
        <f t="shared" si="49"/>
        <v>0</v>
      </c>
      <c r="H140" s="30">
        <f>H141</f>
        <v>0</v>
      </c>
      <c r="I140" s="30">
        <f>I141</f>
        <v>0</v>
      </c>
      <c r="J140" s="30">
        <f>J141</f>
        <v>0</v>
      </c>
      <c r="K140" s="31">
        <f>K141</f>
        <v>0</v>
      </c>
      <c r="L140" s="31">
        <f t="shared" ref="L140:M140" si="82">L141</f>
        <v>0</v>
      </c>
      <c r="M140" s="97">
        <f t="shared" si="82"/>
        <v>0</v>
      </c>
    </row>
    <row r="141" spans="1:15" ht="71.25" customHeight="1" x14ac:dyDescent="0.3">
      <c r="A141" s="147">
        <v>78</v>
      </c>
      <c r="B141" s="140" t="s">
        <v>35</v>
      </c>
      <c r="C141" s="90" t="s">
        <v>62</v>
      </c>
      <c r="D141" s="141" t="s">
        <v>43</v>
      </c>
      <c r="E141" s="137">
        <v>741</v>
      </c>
      <c r="F141" s="54" t="s">
        <v>17</v>
      </c>
      <c r="G141" s="30">
        <f t="shared" si="49"/>
        <v>0</v>
      </c>
      <c r="H141" s="30">
        <v>0</v>
      </c>
      <c r="I141" s="30">
        <v>0</v>
      </c>
      <c r="J141" s="30">
        <v>0</v>
      </c>
      <c r="K141" s="31">
        <v>0</v>
      </c>
      <c r="L141" s="31">
        <v>0</v>
      </c>
      <c r="M141" s="97">
        <v>0</v>
      </c>
    </row>
    <row r="142" spans="1:15" ht="61.5" customHeight="1" x14ac:dyDescent="0.3">
      <c r="A142" s="147">
        <v>79</v>
      </c>
      <c r="B142" s="140" t="s">
        <v>36</v>
      </c>
      <c r="C142" s="140" t="s">
        <v>131</v>
      </c>
      <c r="D142" s="141" t="s">
        <v>41</v>
      </c>
      <c r="E142" s="137" t="s">
        <v>17</v>
      </c>
      <c r="F142" s="54" t="s">
        <v>17</v>
      </c>
      <c r="G142" s="30">
        <f t="shared" si="49"/>
        <v>594357.09</v>
      </c>
      <c r="H142" s="30">
        <f>H143+H144+H145+H146+H147</f>
        <v>0</v>
      </c>
      <c r="I142" s="30">
        <v>150995</v>
      </c>
      <c r="J142" s="30">
        <f>J143+J144+J145+J146+J147</f>
        <v>151000</v>
      </c>
      <c r="K142" s="30">
        <f>K143+K144+K145+K146+K147</f>
        <v>141362.09</v>
      </c>
      <c r="L142" s="30">
        <f>L143+L144+L145+L146+L147</f>
        <v>0</v>
      </c>
      <c r="M142" s="30">
        <f>M143+M144+M145+M146+M147</f>
        <v>151000</v>
      </c>
    </row>
    <row r="143" spans="1:15" ht="30.6" x14ac:dyDescent="0.3">
      <c r="A143" s="147">
        <v>80</v>
      </c>
      <c r="B143" s="20" t="s">
        <v>37</v>
      </c>
      <c r="C143" s="140" t="s">
        <v>62</v>
      </c>
      <c r="D143" s="141" t="s">
        <v>43</v>
      </c>
      <c r="E143" s="137">
        <v>741</v>
      </c>
      <c r="F143" s="54" t="s">
        <v>17</v>
      </c>
      <c r="G143" s="30">
        <f t="shared" si="49"/>
        <v>0</v>
      </c>
      <c r="H143" s="30">
        <v>0</v>
      </c>
      <c r="I143" s="30">
        <v>0</v>
      </c>
      <c r="J143" s="30">
        <v>0</v>
      </c>
      <c r="K143" s="31">
        <v>0</v>
      </c>
      <c r="L143" s="31">
        <v>0</v>
      </c>
      <c r="M143" s="97">
        <v>0</v>
      </c>
    </row>
    <row r="144" spans="1:15" ht="40.799999999999997" x14ac:dyDescent="0.3">
      <c r="A144" s="147">
        <v>81</v>
      </c>
      <c r="B144" s="140" t="s">
        <v>38</v>
      </c>
      <c r="C144" s="140" t="s">
        <v>62</v>
      </c>
      <c r="D144" s="141" t="s">
        <v>43</v>
      </c>
      <c r="E144" s="137">
        <v>741</v>
      </c>
      <c r="F144" s="54" t="s">
        <v>17</v>
      </c>
      <c r="G144" s="30">
        <f t="shared" si="49"/>
        <v>0</v>
      </c>
      <c r="H144" s="30">
        <v>0</v>
      </c>
      <c r="I144" s="30">
        <v>0</v>
      </c>
      <c r="J144" s="30">
        <v>0</v>
      </c>
      <c r="K144" s="31">
        <v>0</v>
      </c>
      <c r="L144" s="31">
        <v>0</v>
      </c>
      <c r="M144" s="97">
        <v>0</v>
      </c>
    </row>
    <row r="145" spans="1:13" ht="37.5" customHeight="1" x14ac:dyDescent="0.3">
      <c r="A145" s="147">
        <v>82</v>
      </c>
      <c r="B145" s="140" t="s">
        <v>39</v>
      </c>
      <c r="C145" s="140" t="s">
        <v>62</v>
      </c>
      <c r="D145" s="141" t="s">
        <v>43</v>
      </c>
      <c r="E145" s="54" t="s">
        <v>130</v>
      </c>
      <c r="F145" s="54" t="s">
        <v>17</v>
      </c>
      <c r="G145" s="30">
        <f t="shared" si="49"/>
        <v>0</v>
      </c>
      <c r="H145" s="30">
        <v>0</v>
      </c>
      <c r="I145" s="30">
        <v>0</v>
      </c>
      <c r="J145" s="30">
        <v>0</v>
      </c>
      <c r="K145" s="31">
        <v>0</v>
      </c>
      <c r="L145" s="31">
        <v>0</v>
      </c>
      <c r="M145" s="97">
        <v>0</v>
      </c>
    </row>
    <row r="146" spans="1:13" ht="39" customHeight="1" x14ac:dyDescent="0.3">
      <c r="A146" s="147">
        <v>83</v>
      </c>
      <c r="B146" s="140" t="s">
        <v>48</v>
      </c>
      <c r="C146" s="140" t="s">
        <v>62</v>
      </c>
      <c r="D146" s="141" t="s">
        <v>43</v>
      </c>
      <c r="E146" s="54" t="s">
        <v>130</v>
      </c>
      <c r="F146" s="54" t="s">
        <v>17</v>
      </c>
      <c r="G146" s="30">
        <f t="shared" si="49"/>
        <v>0</v>
      </c>
      <c r="H146" s="30">
        <v>0</v>
      </c>
      <c r="I146" s="30">
        <v>0</v>
      </c>
      <c r="J146" s="30">
        <v>0</v>
      </c>
      <c r="K146" s="31">
        <v>0</v>
      </c>
      <c r="L146" s="31">
        <v>0</v>
      </c>
      <c r="M146" s="97">
        <v>0</v>
      </c>
    </row>
    <row r="147" spans="1:13" ht="30.6" x14ac:dyDescent="0.3">
      <c r="A147" s="147">
        <v>84</v>
      </c>
      <c r="B147" s="140" t="s">
        <v>40</v>
      </c>
      <c r="C147" s="140" t="s">
        <v>46</v>
      </c>
      <c r="D147" s="141" t="s">
        <v>146</v>
      </c>
      <c r="E147" s="137">
        <v>739</v>
      </c>
      <c r="F147" s="54" t="s">
        <v>113</v>
      </c>
      <c r="G147" s="30">
        <f t="shared" si="49"/>
        <v>594357.09</v>
      </c>
      <c r="H147" s="30">
        <v>0</v>
      </c>
      <c r="I147" s="30">
        <v>150995</v>
      </c>
      <c r="J147" s="30">
        <v>151000</v>
      </c>
      <c r="K147" s="31">
        <v>141362.09</v>
      </c>
      <c r="L147" s="31">
        <f>151000-151000</f>
        <v>0</v>
      </c>
      <c r="M147" s="97">
        <v>151000</v>
      </c>
    </row>
    <row r="148" spans="1:13" ht="17.25" customHeight="1" x14ac:dyDescent="0.3">
      <c r="A148" s="164">
        <v>85</v>
      </c>
      <c r="B148" s="179" t="s">
        <v>117</v>
      </c>
      <c r="C148" s="170" t="s">
        <v>118</v>
      </c>
      <c r="D148" s="138" t="s">
        <v>1</v>
      </c>
      <c r="E148" s="137">
        <v>706</v>
      </c>
      <c r="F148" s="54" t="s">
        <v>17</v>
      </c>
      <c r="G148" s="30">
        <f t="shared" si="49"/>
        <v>222677318.04000002</v>
      </c>
      <c r="H148" s="30">
        <f>H156</f>
        <v>0</v>
      </c>
      <c r="I148" s="30">
        <f t="shared" ref="I148:J148" si="83">I156</f>
        <v>0</v>
      </c>
      <c r="J148" s="30">
        <f t="shared" si="83"/>
        <v>0</v>
      </c>
      <c r="K148" s="30">
        <f>K149+K150+K151</f>
        <v>66490054.019999996</v>
      </c>
      <c r="L148" s="30">
        <f t="shared" ref="L148:M148" si="84">L149+L150+L151</f>
        <v>66490054.019999996</v>
      </c>
      <c r="M148" s="30">
        <f t="shared" si="84"/>
        <v>89697210.000000015</v>
      </c>
    </row>
    <row r="149" spans="1:13" ht="21.75" customHeight="1" x14ac:dyDescent="0.3">
      <c r="A149" s="165"/>
      <c r="B149" s="180"/>
      <c r="C149" s="171"/>
      <c r="D149" s="138" t="s">
        <v>119</v>
      </c>
      <c r="E149" s="137">
        <v>706</v>
      </c>
      <c r="F149" s="54" t="s">
        <v>17</v>
      </c>
      <c r="G149" s="30">
        <f t="shared" si="49"/>
        <v>196049982.30000001</v>
      </c>
      <c r="H149" s="30">
        <f t="shared" ref="H149:J151" si="85">H157</f>
        <v>0</v>
      </c>
      <c r="I149" s="30">
        <f t="shared" si="85"/>
        <v>0</v>
      </c>
      <c r="J149" s="30">
        <f t="shared" si="85"/>
        <v>0</v>
      </c>
      <c r="K149" s="30">
        <f>K153</f>
        <v>54521844.299999997</v>
      </c>
      <c r="L149" s="30">
        <f t="shared" ref="L149:M151" si="86">L153</f>
        <v>54521844.299999997</v>
      </c>
      <c r="M149" s="30">
        <f t="shared" si="86"/>
        <v>87006293.700000003</v>
      </c>
    </row>
    <row r="150" spans="1:13" ht="21.75" customHeight="1" x14ac:dyDescent="0.3">
      <c r="A150" s="165"/>
      <c r="B150" s="180"/>
      <c r="C150" s="171"/>
      <c r="D150" s="138" t="s">
        <v>13</v>
      </c>
      <c r="E150" s="137">
        <v>706</v>
      </c>
      <c r="F150" s="54" t="s">
        <v>17</v>
      </c>
      <c r="G150" s="30">
        <f t="shared" si="49"/>
        <v>18632872.189999998</v>
      </c>
      <c r="H150" s="30">
        <f t="shared" si="85"/>
        <v>0</v>
      </c>
      <c r="I150" s="30">
        <f t="shared" si="85"/>
        <v>0</v>
      </c>
      <c r="J150" s="30">
        <f t="shared" si="85"/>
        <v>0</v>
      </c>
      <c r="K150" s="30">
        <f>K154</f>
        <v>11303309.18</v>
      </c>
      <c r="L150" s="30">
        <f t="shared" si="86"/>
        <v>5984104.8600000003</v>
      </c>
      <c r="M150" s="30">
        <f t="shared" si="86"/>
        <v>1345458.15</v>
      </c>
    </row>
    <row r="151" spans="1:13" ht="33.75" customHeight="1" x14ac:dyDescent="0.3">
      <c r="A151" s="166"/>
      <c r="B151" s="180"/>
      <c r="C151" s="171"/>
      <c r="D151" s="138" t="s">
        <v>146</v>
      </c>
      <c r="E151" s="137">
        <v>706</v>
      </c>
      <c r="F151" s="54" t="s">
        <v>17</v>
      </c>
      <c r="G151" s="30">
        <f t="shared" si="49"/>
        <v>7994463.5500000007</v>
      </c>
      <c r="H151" s="30">
        <f t="shared" si="85"/>
        <v>0</v>
      </c>
      <c r="I151" s="30">
        <f t="shared" si="85"/>
        <v>0</v>
      </c>
      <c r="J151" s="30">
        <f t="shared" si="85"/>
        <v>0</v>
      </c>
      <c r="K151" s="30">
        <f>K155</f>
        <v>664900.54</v>
      </c>
      <c r="L151" s="30">
        <f t="shared" si="86"/>
        <v>5984104.8600000003</v>
      </c>
      <c r="M151" s="30">
        <f t="shared" si="86"/>
        <v>1345458.15</v>
      </c>
    </row>
    <row r="152" spans="1:13" ht="18" customHeight="1" x14ac:dyDescent="0.3">
      <c r="A152" s="164">
        <v>86</v>
      </c>
      <c r="B152" s="167" t="s">
        <v>114</v>
      </c>
      <c r="C152" s="170" t="s">
        <v>118</v>
      </c>
      <c r="D152" s="138" t="s">
        <v>1</v>
      </c>
      <c r="E152" s="137">
        <v>706</v>
      </c>
      <c r="F152" s="54" t="s">
        <v>17</v>
      </c>
      <c r="G152" s="30">
        <f t="shared" si="49"/>
        <v>222677318.04000002</v>
      </c>
      <c r="H152" s="30">
        <f t="shared" ref="H152:J159" si="87">H156</f>
        <v>0</v>
      </c>
      <c r="I152" s="30">
        <f t="shared" si="87"/>
        <v>0</v>
      </c>
      <c r="J152" s="30">
        <f t="shared" si="87"/>
        <v>0</v>
      </c>
      <c r="K152" s="30">
        <f>K153+K154+K155</f>
        <v>66490054.019999996</v>
      </c>
      <c r="L152" s="30">
        <f t="shared" ref="L152:M152" si="88">L153+L154+L155</f>
        <v>66490054.019999996</v>
      </c>
      <c r="M152" s="30">
        <f t="shared" si="88"/>
        <v>89697210.000000015</v>
      </c>
    </row>
    <row r="153" spans="1:13" ht="20.399999999999999" x14ac:dyDescent="0.3">
      <c r="A153" s="165"/>
      <c r="B153" s="168"/>
      <c r="C153" s="171"/>
      <c r="D153" s="138" t="s">
        <v>119</v>
      </c>
      <c r="E153" s="137">
        <v>706</v>
      </c>
      <c r="F153" s="54" t="s">
        <v>17</v>
      </c>
      <c r="G153" s="30">
        <f t="shared" si="49"/>
        <v>196049982.30000001</v>
      </c>
      <c r="H153" s="30">
        <f t="shared" si="87"/>
        <v>0</v>
      </c>
      <c r="I153" s="30">
        <f t="shared" si="87"/>
        <v>0</v>
      </c>
      <c r="J153" s="30">
        <f t="shared" si="87"/>
        <v>0</v>
      </c>
      <c r="K153" s="30">
        <f>K157</f>
        <v>54521844.299999997</v>
      </c>
      <c r="L153" s="30">
        <f t="shared" ref="L153:M155" si="89">L157</f>
        <v>54521844.299999997</v>
      </c>
      <c r="M153" s="30">
        <f t="shared" si="89"/>
        <v>87006293.700000003</v>
      </c>
    </row>
    <row r="154" spans="1:13" x14ac:dyDescent="0.3">
      <c r="A154" s="165"/>
      <c r="B154" s="168"/>
      <c r="C154" s="171"/>
      <c r="D154" s="138" t="s">
        <v>13</v>
      </c>
      <c r="E154" s="137">
        <v>706</v>
      </c>
      <c r="F154" s="54" t="s">
        <v>17</v>
      </c>
      <c r="G154" s="30">
        <f t="shared" si="49"/>
        <v>18632872.189999998</v>
      </c>
      <c r="H154" s="30">
        <f t="shared" si="87"/>
        <v>0</v>
      </c>
      <c r="I154" s="30">
        <f t="shared" si="87"/>
        <v>0</v>
      </c>
      <c r="J154" s="30">
        <f t="shared" si="87"/>
        <v>0</v>
      </c>
      <c r="K154" s="30">
        <f>K158</f>
        <v>11303309.18</v>
      </c>
      <c r="L154" s="30">
        <f t="shared" si="89"/>
        <v>5984104.8600000003</v>
      </c>
      <c r="M154" s="30">
        <f t="shared" si="89"/>
        <v>1345458.15</v>
      </c>
    </row>
    <row r="155" spans="1:13" ht="30.6" x14ac:dyDescent="0.3">
      <c r="A155" s="166"/>
      <c r="B155" s="169"/>
      <c r="C155" s="172"/>
      <c r="D155" s="138" t="s">
        <v>146</v>
      </c>
      <c r="E155" s="137">
        <v>706</v>
      </c>
      <c r="F155" s="54" t="s">
        <v>17</v>
      </c>
      <c r="G155" s="30">
        <f t="shared" si="49"/>
        <v>7994463.5500000007</v>
      </c>
      <c r="H155" s="30">
        <f t="shared" si="87"/>
        <v>0</v>
      </c>
      <c r="I155" s="30">
        <f t="shared" si="87"/>
        <v>0</v>
      </c>
      <c r="J155" s="30">
        <f t="shared" si="87"/>
        <v>0</v>
      </c>
      <c r="K155" s="30">
        <f>K159</f>
        <v>664900.54</v>
      </c>
      <c r="L155" s="30">
        <f t="shared" si="89"/>
        <v>5984104.8600000003</v>
      </c>
      <c r="M155" s="30">
        <f t="shared" si="89"/>
        <v>1345458.15</v>
      </c>
    </row>
    <row r="156" spans="1:13" ht="15" customHeight="1" x14ac:dyDescent="0.3">
      <c r="A156" s="164">
        <v>87</v>
      </c>
      <c r="B156" s="167" t="s">
        <v>115</v>
      </c>
      <c r="C156" s="170" t="s">
        <v>118</v>
      </c>
      <c r="D156" s="138" t="s">
        <v>1</v>
      </c>
      <c r="E156" s="137">
        <v>706</v>
      </c>
      <c r="F156" s="54" t="s">
        <v>17</v>
      </c>
      <c r="G156" s="30">
        <f t="shared" si="49"/>
        <v>222677318.04000002</v>
      </c>
      <c r="H156" s="30">
        <f>H160</f>
        <v>0</v>
      </c>
      <c r="I156" s="30">
        <f t="shared" si="87"/>
        <v>0</v>
      </c>
      <c r="J156" s="30">
        <f t="shared" si="87"/>
        <v>0</v>
      </c>
      <c r="K156" s="30">
        <f>K157+K158+K159</f>
        <v>66490054.019999996</v>
      </c>
      <c r="L156" s="30">
        <f t="shared" ref="L156:M156" si="90">L157+L158+L159</f>
        <v>66490054.019999996</v>
      </c>
      <c r="M156" s="30">
        <f t="shared" si="90"/>
        <v>89697210.000000015</v>
      </c>
    </row>
    <row r="157" spans="1:13" ht="20.399999999999999" x14ac:dyDescent="0.3">
      <c r="A157" s="165"/>
      <c r="B157" s="168"/>
      <c r="C157" s="171"/>
      <c r="D157" s="138" t="s">
        <v>119</v>
      </c>
      <c r="E157" s="137">
        <v>706</v>
      </c>
      <c r="F157" s="54" t="s">
        <v>17</v>
      </c>
      <c r="G157" s="30">
        <f t="shared" si="49"/>
        <v>196049982.30000001</v>
      </c>
      <c r="H157" s="30">
        <f t="shared" ref="H157:H159" si="91">H161</f>
        <v>0</v>
      </c>
      <c r="I157" s="30">
        <f t="shared" si="87"/>
        <v>0</v>
      </c>
      <c r="J157" s="30">
        <f t="shared" si="87"/>
        <v>0</v>
      </c>
      <c r="K157" s="30">
        <f>K161</f>
        <v>54521844.299999997</v>
      </c>
      <c r="L157" s="30">
        <f t="shared" ref="L157" si="92">L161</f>
        <v>54521844.299999997</v>
      </c>
      <c r="M157" s="30">
        <f>M161+M165</f>
        <v>87006293.700000003</v>
      </c>
    </row>
    <row r="158" spans="1:13" x14ac:dyDescent="0.3">
      <c r="A158" s="165"/>
      <c r="B158" s="168"/>
      <c r="C158" s="171"/>
      <c r="D158" s="138" t="s">
        <v>13</v>
      </c>
      <c r="E158" s="137">
        <v>706</v>
      </c>
      <c r="F158" s="54" t="s">
        <v>17</v>
      </c>
      <c r="G158" s="30">
        <f t="shared" si="49"/>
        <v>18632872.189999998</v>
      </c>
      <c r="H158" s="30">
        <f t="shared" si="91"/>
        <v>0</v>
      </c>
      <c r="I158" s="30">
        <f t="shared" si="87"/>
        <v>0</v>
      </c>
      <c r="J158" s="30">
        <f t="shared" si="87"/>
        <v>0</v>
      </c>
      <c r="K158" s="30">
        <f>K162</f>
        <v>11303309.18</v>
      </c>
      <c r="L158" s="30">
        <f>L162</f>
        <v>5984104.8600000003</v>
      </c>
      <c r="M158" s="30">
        <f t="shared" ref="M158:M159" si="93">M162+M166</f>
        <v>1345458.15</v>
      </c>
    </row>
    <row r="159" spans="1:13" ht="30.6" x14ac:dyDescent="0.3">
      <c r="A159" s="166"/>
      <c r="B159" s="169"/>
      <c r="C159" s="172"/>
      <c r="D159" s="138" t="s">
        <v>146</v>
      </c>
      <c r="E159" s="137">
        <v>706</v>
      </c>
      <c r="F159" s="54" t="s">
        <v>17</v>
      </c>
      <c r="G159" s="30">
        <f t="shared" si="49"/>
        <v>7994463.5500000007</v>
      </c>
      <c r="H159" s="30">
        <f t="shared" si="91"/>
        <v>0</v>
      </c>
      <c r="I159" s="30">
        <f t="shared" si="87"/>
        <v>0</v>
      </c>
      <c r="J159" s="30">
        <f t="shared" si="87"/>
        <v>0</v>
      </c>
      <c r="K159" s="30">
        <f>K163</f>
        <v>664900.54</v>
      </c>
      <c r="L159" s="30">
        <f>L163</f>
        <v>5984104.8600000003</v>
      </c>
      <c r="M159" s="30">
        <f t="shared" si="93"/>
        <v>1345458.15</v>
      </c>
    </row>
    <row r="160" spans="1:13" ht="16.5" customHeight="1" x14ac:dyDescent="0.3">
      <c r="A160" s="164">
        <v>88</v>
      </c>
      <c r="B160" s="167" t="s">
        <v>124</v>
      </c>
      <c r="C160" s="170" t="s">
        <v>118</v>
      </c>
      <c r="D160" s="138" t="s">
        <v>1</v>
      </c>
      <c r="E160" s="137">
        <v>706</v>
      </c>
      <c r="F160" s="54" t="s">
        <v>100</v>
      </c>
      <c r="G160" s="30">
        <f t="shared" si="49"/>
        <v>132980108.03999999</v>
      </c>
      <c r="H160" s="30">
        <f>H161+H162+H163</f>
        <v>0</v>
      </c>
      <c r="I160" s="30">
        <f t="shared" ref="I160:M160" si="94">I161+I162+I163</f>
        <v>0</v>
      </c>
      <c r="J160" s="30">
        <f t="shared" si="94"/>
        <v>0</v>
      </c>
      <c r="K160" s="30">
        <f t="shared" si="94"/>
        <v>66490054.019999996</v>
      </c>
      <c r="L160" s="30">
        <f t="shared" si="94"/>
        <v>66490054.019999996</v>
      </c>
      <c r="M160" s="30">
        <f t="shared" si="94"/>
        <v>0</v>
      </c>
    </row>
    <row r="161" spans="1:15" ht="20.399999999999999" x14ac:dyDescent="0.3">
      <c r="A161" s="165"/>
      <c r="B161" s="168"/>
      <c r="C161" s="171"/>
      <c r="D161" s="138" t="s">
        <v>119</v>
      </c>
      <c r="E161" s="137">
        <v>706</v>
      </c>
      <c r="F161" s="54" t="s">
        <v>100</v>
      </c>
      <c r="G161" s="30">
        <f t="shared" si="49"/>
        <v>109043688.59999999</v>
      </c>
      <c r="H161" s="30">
        <v>0</v>
      </c>
      <c r="I161" s="30">
        <v>0</v>
      </c>
      <c r="J161" s="30">
        <v>0</v>
      </c>
      <c r="K161" s="31">
        <v>54521844.299999997</v>
      </c>
      <c r="L161" s="31">
        <v>54521844.299999997</v>
      </c>
      <c r="M161" s="97">
        <v>0</v>
      </c>
      <c r="N161" s="82" t="s">
        <v>133</v>
      </c>
    </row>
    <row r="162" spans="1:15" x14ac:dyDescent="0.3">
      <c r="A162" s="165"/>
      <c r="B162" s="168"/>
      <c r="C162" s="171"/>
      <c r="D162" s="138" t="s">
        <v>13</v>
      </c>
      <c r="E162" s="137">
        <v>706</v>
      </c>
      <c r="F162" s="54" t="s">
        <v>100</v>
      </c>
      <c r="G162" s="30">
        <f t="shared" si="49"/>
        <v>17287414.039999999</v>
      </c>
      <c r="H162" s="30">
        <v>0</v>
      </c>
      <c r="I162" s="30">
        <v>0</v>
      </c>
      <c r="J162" s="30">
        <v>0</v>
      </c>
      <c r="K162" s="31">
        <v>11303309.18</v>
      </c>
      <c r="L162" s="30">
        <v>5984104.8600000003</v>
      </c>
      <c r="M162" s="97">
        <v>0</v>
      </c>
      <c r="N162" s="94">
        <v>0.09</v>
      </c>
    </row>
    <row r="163" spans="1:15" ht="30.6" x14ac:dyDescent="0.3">
      <c r="A163" s="166"/>
      <c r="B163" s="169"/>
      <c r="C163" s="172"/>
      <c r="D163" s="138" t="s">
        <v>146</v>
      </c>
      <c r="E163" s="137">
        <v>706</v>
      </c>
      <c r="F163" s="54" t="s">
        <v>100</v>
      </c>
      <c r="G163" s="30">
        <f t="shared" si="49"/>
        <v>6649005.4000000004</v>
      </c>
      <c r="H163" s="30">
        <v>0</v>
      </c>
      <c r="I163" s="30">
        <v>0</v>
      </c>
      <c r="J163" s="30">
        <v>0</v>
      </c>
      <c r="K163" s="31">
        <v>664900.54</v>
      </c>
      <c r="L163" s="30">
        <v>5984104.8600000003</v>
      </c>
      <c r="M163" s="97">
        <v>0</v>
      </c>
      <c r="N163" s="82" t="s">
        <v>135</v>
      </c>
      <c r="O163" s="82"/>
    </row>
    <row r="164" spans="1:15" x14ac:dyDescent="0.3">
      <c r="A164" s="164">
        <v>89</v>
      </c>
      <c r="B164" s="167" t="s">
        <v>174</v>
      </c>
      <c r="C164" s="170" t="s">
        <v>118</v>
      </c>
      <c r="D164" s="138" t="s">
        <v>1</v>
      </c>
      <c r="E164" s="137">
        <v>706</v>
      </c>
      <c r="F164" s="54" t="s">
        <v>100</v>
      </c>
      <c r="G164" s="30">
        <f t="shared" si="49"/>
        <v>89697210.000000015</v>
      </c>
      <c r="H164" s="30">
        <f>H165+H166+H167</f>
        <v>0</v>
      </c>
      <c r="I164" s="30">
        <f t="shared" ref="I164:M164" si="95">I165+I166+I167</f>
        <v>0</v>
      </c>
      <c r="J164" s="30">
        <f t="shared" si="95"/>
        <v>0</v>
      </c>
      <c r="K164" s="30">
        <f t="shared" si="95"/>
        <v>0</v>
      </c>
      <c r="L164" s="30">
        <f t="shared" si="95"/>
        <v>0</v>
      </c>
      <c r="M164" s="30">
        <f t="shared" si="95"/>
        <v>89697210.000000015</v>
      </c>
      <c r="N164" s="82"/>
      <c r="O164" s="82"/>
    </row>
    <row r="165" spans="1:15" ht="20.399999999999999" x14ac:dyDescent="0.3">
      <c r="A165" s="165"/>
      <c r="B165" s="168"/>
      <c r="C165" s="171"/>
      <c r="D165" s="138" t="s">
        <v>119</v>
      </c>
      <c r="E165" s="137">
        <v>706</v>
      </c>
      <c r="F165" s="54" t="s">
        <v>100</v>
      </c>
      <c r="G165" s="30">
        <f t="shared" ref="G165:G171" si="96">H165+I165+J165+K165+L165+M165</f>
        <v>87006293.700000003</v>
      </c>
      <c r="H165" s="30">
        <v>0</v>
      </c>
      <c r="I165" s="30">
        <v>0</v>
      </c>
      <c r="J165" s="30">
        <v>0</v>
      </c>
      <c r="K165" s="30">
        <v>0</v>
      </c>
      <c r="L165" s="30">
        <v>0</v>
      </c>
      <c r="M165" s="97">
        <v>87006293.700000003</v>
      </c>
      <c r="N165" s="82"/>
      <c r="O165" s="82"/>
    </row>
    <row r="166" spans="1:15" x14ac:dyDescent="0.3">
      <c r="A166" s="165"/>
      <c r="B166" s="168"/>
      <c r="C166" s="171"/>
      <c r="D166" s="138" t="s">
        <v>13</v>
      </c>
      <c r="E166" s="137">
        <v>706</v>
      </c>
      <c r="F166" s="54" t="s">
        <v>100</v>
      </c>
      <c r="G166" s="30">
        <f t="shared" si="96"/>
        <v>1345458.15</v>
      </c>
      <c r="H166" s="30">
        <v>0</v>
      </c>
      <c r="I166" s="30">
        <v>0</v>
      </c>
      <c r="J166" s="30">
        <v>0</v>
      </c>
      <c r="K166" s="30">
        <v>0</v>
      </c>
      <c r="L166" s="30">
        <v>0</v>
      </c>
      <c r="M166" s="97">
        <v>1345458.15</v>
      </c>
      <c r="N166" s="82"/>
      <c r="O166" s="82"/>
    </row>
    <row r="167" spans="1:15" ht="32.25" customHeight="1" x14ac:dyDescent="0.3">
      <c r="A167" s="166"/>
      <c r="B167" s="169"/>
      <c r="C167" s="172"/>
      <c r="D167" s="138" t="s">
        <v>146</v>
      </c>
      <c r="E167" s="137">
        <v>706</v>
      </c>
      <c r="F167" s="54" t="s">
        <v>100</v>
      </c>
      <c r="G167" s="30">
        <f t="shared" si="96"/>
        <v>1345458.15</v>
      </c>
      <c r="H167" s="30">
        <v>0</v>
      </c>
      <c r="I167" s="30">
        <v>0</v>
      </c>
      <c r="J167" s="30">
        <v>0</v>
      </c>
      <c r="K167" s="30">
        <v>0</v>
      </c>
      <c r="L167" s="30">
        <v>0</v>
      </c>
      <c r="M167" s="97">
        <v>1345458.15</v>
      </c>
      <c r="N167" s="82"/>
      <c r="O167" s="82"/>
    </row>
    <row r="168" spans="1:15" ht="37.5" customHeight="1" x14ac:dyDescent="0.3">
      <c r="A168" s="158">
        <v>90</v>
      </c>
      <c r="B168" s="159" t="s">
        <v>42</v>
      </c>
      <c r="C168" s="160" t="s">
        <v>147</v>
      </c>
      <c r="D168" s="138" t="s">
        <v>1</v>
      </c>
      <c r="E168" s="54" t="s">
        <v>17</v>
      </c>
      <c r="F168" s="54" t="s">
        <v>100</v>
      </c>
      <c r="G168" s="30">
        <f t="shared" si="96"/>
        <v>26721109914.039997</v>
      </c>
      <c r="H168" s="30">
        <f>H169+H170+H171</f>
        <v>3791445870.6199999</v>
      </c>
      <c r="I168" s="30">
        <f t="shared" ref="I168:L168" si="97">I169+I170+I171</f>
        <v>4004499715.1599998</v>
      </c>
      <c r="J168" s="30">
        <f t="shared" si="97"/>
        <v>4346529115.75</v>
      </c>
      <c r="K168" s="30">
        <f t="shared" si="97"/>
        <v>4619958555.25</v>
      </c>
      <c r="L168" s="30">
        <f t="shared" si="97"/>
        <v>4832485805.2300005</v>
      </c>
      <c r="M168" s="30">
        <f>M169+M170+M171</f>
        <v>5126190852.0299997</v>
      </c>
      <c r="N168" s="70"/>
      <c r="O168" s="70"/>
    </row>
    <row r="169" spans="1:15" ht="25.5" customHeight="1" x14ac:dyDescent="0.3">
      <c r="A169" s="158"/>
      <c r="B169" s="159"/>
      <c r="C169" s="160"/>
      <c r="D169" s="138" t="s">
        <v>119</v>
      </c>
      <c r="E169" s="54" t="s">
        <v>17</v>
      </c>
      <c r="F169" s="54" t="s">
        <v>17</v>
      </c>
      <c r="G169" s="30">
        <f t="shared" si="96"/>
        <v>196049982.30000001</v>
      </c>
      <c r="H169" s="30">
        <f t="shared" ref="H169:M171" si="98">H9</f>
        <v>0</v>
      </c>
      <c r="I169" s="30">
        <f t="shared" si="98"/>
        <v>0</v>
      </c>
      <c r="J169" s="30">
        <f t="shared" si="98"/>
        <v>0</v>
      </c>
      <c r="K169" s="30">
        <f t="shared" si="98"/>
        <v>54521844.299999997</v>
      </c>
      <c r="L169" s="30">
        <f t="shared" si="98"/>
        <v>54521844.299999997</v>
      </c>
      <c r="M169" s="30">
        <f t="shared" si="98"/>
        <v>87006293.700000003</v>
      </c>
    </row>
    <row r="170" spans="1:15" ht="31.5" customHeight="1" x14ac:dyDescent="0.3">
      <c r="A170" s="158"/>
      <c r="B170" s="159"/>
      <c r="C170" s="160"/>
      <c r="D170" s="138" t="s">
        <v>13</v>
      </c>
      <c r="E170" s="54" t="s">
        <v>17</v>
      </c>
      <c r="F170" s="54" t="s">
        <v>17</v>
      </c>
      <c r="G170" s="30">
        <f t="shared" si="96"/>
        <v>18475576581.860001</v>
      </c>
      <c r="H170" s="30">
        <f t="shared" si="98"/>
        <v>2585595100</v>
      </c>
      <c r="I170" s="30">
        <f t="shared" si="98"/>
        <v>2709636417.4000001</v>
      </c>
      <c r="J170" s="30">
        <f t="shared" si="98"/>
        <v>3001827490</v>
      </c>
      <c r="K170" s="30">
        <f t="shared" si="98"/>
        <v>3240811342.2399998</v>
      </c>
      <c r="L170" s="30">
        <f t="shared" si="98"/>
        <v>3478657424.0700002</v>
      </c>
      <c r="M170" s="30">
        <f>M10</f>
        <v>3459048808.1500001</v>
      </c>
    </row>
    <row r="171" spans="1:15" ht="85.5" customHeight="1" x14ac:dyDescent="0.3">
      <c r="A171" s="158"/>
      <c r="B171" s="159"/>
      <c r="C171" s="160"/>
      <c r="D171" s="138" t="s">
        <v>146</v>
      </c>
      <c r="E171" s="54" t="s">
        <v>17</v>
      </c>
      <c r="F171" s="54" t="s">
        <v>17</v>
      </c>
      <c r="G171" s="30">
        <f t="shared" si="96"/>
        <v>8049483349.8799992</v>
      </c>
      <c r="H171" s="30">
        <f t="shared" si="98"/>
        <v>1205850770.6199999</v>
      </c>
      <c r="I171" s="30">
        <f t="shared" si="98"/>
        <v>1294863297.7599998</v>
      </c>
      <c r="J171" s="30">
        <f t="shared" si="98"/>
        <v>1344701625.75</v>
      </c>
      <c r="K171" s="30">
        <f t="shared" si="98"/>
        <v>1324625368.7099998</v>
      </c>
      <c r="L171" s="30">
        <f t="shared" si="98"/>
        <v>1299306536.8599999</v>
      </c>
      <c r="M171" s="30">
        <f>M11</f>
        <v>1580135750.1800001</v>
      </c>
      <c r="N171" s="70"/>
    </row>
    <row r="172" spans="1:15" ht="38.25" customHeight="1" x14ac:dyDescent="0.3">
      <c r="A172" s="5"/>
      <c r="B172" s="102"/>
      <c r="C172" s="133"/>
      <c r="D172" s="18"/>
      <c r="E172" s="103"/>
      <c r="F172" s="103"/>
      <c r="G172" s="134"/>
      <c r="H172" s="134"/>
      <c r="I172" s="134"/>
      <c r="J172" s="134"/>
      <c r="K172" s="134"/>
      <c r="L172" s="134"/>
      <c r="M172" s="134"/>
      <c r="N172" s="70"/>
    </row>
    <row r="173" spans="1:15" ht="50.25" customHeight="1" x14ac:dyDescent="0.3">
      <c r="A173" s="8"/>
      <c r="B173" s="96"/>
      <c r="C173" s="161" t="s">
        <v>180</v>
      </c>
      <c r="D173" s="161"/>
      <c r="E173" s="161"/>
      <c r="F173" s="162" t="s">
        <v>170</v>
      </c>
      <c r="G173" s="162"/>
      <c r="H173" s="162"/>
      <c r="I173" s="162"/>
      <c r="J173" s="162"/>
      <c r="L173" s="27"/>
      <c r="M173" s="156"/>
    </row>
    <row r="174" spans="1:15" ht="16.5" customHeight="1" x14ac:dyDescent="0.3">
      <c r="A174" s="8"/>
      <c r="B174" s="95"/>
      <c r="C174" s="95"/>
      <c r="D174" s="95"/>
      <c r="E174" s="2"/>
      <c r="F174" s="162"/>
      <c r="G174" s="162"/>
      <c r="H174" s="162"/>
      <c r="I174" s="162"/>
      <c r="J174" s="162"/>
      <c r="L174" s="27"/>
      <c r="M174" s="156"/>
    </row>
    <row r="175" spans="1:15" ht="20.399999999999999" x14ac:dyDescent="0.3">
      <c r="A175" s="8"/>
      <c r="B175" s="133" t="s">
        <v>145</v>
      </c>
      <c r="C175" s="9"/>
      <c r="D175" s="10"/>
      <c r="E175" s="2"/>
      <c r="F175" s="57"/>
      <c r="G175" s="2"/>
      <c r="H175" s="2"/>
      <c r="I175" s="2"/>
      <c r="J175" s="2"/>
      <c r="L175" s="2"/>
      <c r="M175" s="18"/>
    </row>
    <row r="176" spans="1:15" x14ac:dyDescent="0.3">
      <c r="A176" s="8"/>
      <c r="B176" s="9"/>
      <c r="C176" s="9"/>
      <c r="D176" s="10"/>
      <c r="E176" s="2"/>
      <c r="F176" s="57"/>
      <c r="G176" s="33"/>
      <c r="H176" s="33"/>
      <c r="I176" s="33"/>
      <c r="J176" s="33"/>
      <c r="K176" s="33"/>
      <c r="L176" s="33"/>
      <c r="M176" s="134"/>
    </row>
    <row r="177" spans="1:14" x14ac:dyDescent="0.3">
      <c r="A177" s="8"/>
      <c r="B177" s="148"/>
      <c r="C177" s="148"/>
      <c r="D177" s="10"/>
      <c r="E177" s="2"/>
      <c r="F177" s="57"/>
      <c r="G177" s="33"/>
      <c r="H177" s="33"/>
      <c r="I177" s="33"/>
      <c r="J177" s="33"/>
      <c r="K177" s="33"/>
      <c r="L177" s="33"/>
      <c r="M177" s="134"/>
      <c r="N177" s="33"/>
    </row>
    <row r="178" spans="1:14" x14ac:dyDescent="0.3">
      <c r="A178" s="12"/>
      <c r="B178" s="13"/>
      <c r="C178" s="13"/>
      <c r="D178" s="14"/>
      <c r="E178" s="1"/>
      <c r="F178" s="58"/>
      <c r="G178" s="33"/>
      <c r="H178" s="33"/>
      <c r="I178" s="33"/>
      <c r="J178" s="33"/>
      <c r="K178" s="33"/>
      <c r="L178" s="33"/>
      <c r="M178" s="134"/>
    </row>
    <row r="179" spans="1:14" x14ac:dyDescent="0.3">
      <c r="A179" s="12"/>
      <c r="B179" s="13"/>
      <c r="C179" s="13"/>
      <c r="D179" s="14"/>
      <c r="E179" s="1"/>
      <c r="F179" s="58"/>
      <c r="G179" s="1"/>
      <c r="H179" s="1"/>
      <c r="I179" s="1"/>
      <c r="J179" s="1"/>
      <c r="L179" s="1"/>
      <c r="M179" s="157"/>
    </row>
  </sheetData>
  <sheetProtection formatCells="0" formatColumns="0" formatRows="0" insertColumns="0" insertRows="0" insertHyperlinks="0" deleteColumns="0" deleteRows="0" sort="0" autoFilter="0" pivotTables="0"/>
  <autoFilter ref="A6:L171"/>
  <mergeCells count="97">
    <mergeCell ref="A1:B1"/>
    <mergeCell ref="H1:M1"/>
    <mergeCell ref="A3:L3"/>
    <mergeCell ref="J4:L4"/>
    <mergeCell ref="A5:A6"/>
    <mergeCell ref="B5:B6"/>
    <mergeCell ref="C5:C6"/>
    <mergeCell ref="D5:D6"/>
    <mergeCell ref="E5:F5"/>
    <mergeCell ref="G5:M5"/>
    <mergeCell ref="A8:A11"/>
    <mergeCell ref="B8:B11"/>
    <mergeCell ref="C8:C11"/>
    <mergeCell ref="A12:A15"/>
    <mergeCell ref="B12:B15"/>
    <mergeCell ref="C12:C15"/>
    <mergeCell ref="A16:A17"/>
    <mergeCell ref="B16:B17"/>
    <mergeCell ref="C16:C17"/>
    <mergeCell ref="A20:A22"/>
    <mergeCell ref="B20:B22"/>
    <mergeCell ref="C20:C22"/>
    <mergeCell ref="A23:A25"/>
    <mergeCell ref="B23:B25"/>
    <mergeCell ref="C23:C25"/>
    <mergeCell ref="A28:A30"/>
    <mergeCell ref="B28:B30"/>
    <mergeCell ref="C28:C30"/>
    <mergeCell ref="A32:A35"/>
    <mergeCell ref="B32:B35"/>
    <mergeCell ref="C32:C35"/>
    <mergeCell ref="A36:A38"/>
    <mergeCell ref="B36:B38"/>
    <mergeCell ref="C36:C38"/>
    <mergeCell ref="A39:A41"/>
    <mergeCell ref="B39:B41"/>
    <mergeCell ref="C39:C41"/>
    <mergeCell ref="A42:A44"/>
    <mergeCell ref="B42:B44"/>
    <mergeCell ref="C42:C44"/>
    <mergeCell ref="A45:A48"/>
    <mergeCell ref="B45:B48"/>
    <mergeCell ref="C45:C48"/>
    <mergeCell ref="D46:D47"/>
    <mergeCell ref="A56:A58"/>
    <mergeCell ref="B56:B58"/>
    <mergeCell ref="C56:C58"/>
    <mergeCell ref="A59:A61"/>
    <mergeCell ref="B59:B61"/>
    <mergeCell ref="C59:C61"/>
    <mergeCell ref="A62:A64"/>
    <mergeCell ref="B62:B64"/>
    <mergeCell ref="C62:C64"/>
    <mergeCell ref="D66:D67"/>
    <mergeCell ref="F66:F67"/>
    <mergeCell ref="A73:A74"/>
    <mergeCell ref="B73:B74"/>
    <mergeCell ref="C73:C74"/>
    <mergeCell ref="A70:A72"/>
    <mergeCell ref="B70:B72"/>
    <mergeCell ref="C70:C72"/>
    <mergeCell ref="A65:A67"/>
    <mergeCell ref="B65:B67"/>
    <mergeCell ref="C65:C67"/>
    <mergeCell ref="A84:A86"/>
    <mergeCell ref="B84:B86"/>
    <mergeCell ref="C84:C86"/>
    <mergeCell ref="A148:A151"/>
    <mergeCell ref="B148:B151"/>
    <mergeCell ref="C148:C151"/>
    <mergeCell ref="A94:A96"/>
    <mergeCell ref="B94:B96"/>
    <mergeCell ref="C94:C96"/>
    <mergeCell ref="A99:A101"/>
    <mergeCell ref="B99:B101"/>
    <mergeCell ref="C99:C101"/>
    <mergeCell ref="N1:P1"/>
    <mergeCell ref="A160:A163"/>
    <mergeCell ref="B160:B163"/>
    <mergeCell ref="C160:C163"/>
    <mergeCell ref="A164:A167"/>
    <mergeCell ref="B164:B167"/>
    <mergeCell ref="C164:C167"/>
    <mergeCell ref="A152:A155"/>
    <mergeCell ref="B152:B155"/>
    <mergeCell ref="C152:C155"/>
    <mergeCell ref="A156:A159"/>
    <mergeCell ref="B156:B159"/>
    <mergeCell ref="C156:C159"/>
    <mergeCell ref="A102:A114"/>
    <mergeCell ref="B102:B114"/>
    <mergeCell ref="C102:C114"/>
    <mergeCell ref="A168:A171"/>
    <mergeCell ref="B168:B171"/>
    <mergeCell ref="C168:C171"/>
    <mergeCell ref="C173:E173"/>
    <mergeCell ref="F173:J174"/>
  </mergeCells>
  <pageMargins left="0.82677165354330706" right="0.19685039370078741" top="0.43307086614173229" bottom="0.3543307086614173" header="0.23622047244094488" footer="0.19685039370078741"/>
  <pageSetup paperSize="9" scale="75" orientation="landscape" r:id="rId1"/>
  <headerFooter>
    <oddHeader>&amp;C&amp;P</oddHeader>
  </headerFooter>
  <rowBreaks count="6" manualBreakCount="6">
    <brk id="22" max="12" man="1"/>
    <brk id="43" max="12" man="1"/>
    <brk id="58" max="12" man="1"/>
    <brk id="124" max="12" man="1"/>
    <brk id="136" max="12" man="1"/>
    <brk id="151" max="1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79"/>
  <sheetViews>
    <sheetView showGridLines="0" view="pageBreakPreview" zoomScale="130" zoomScaleNormal="130" zoomScaleSheetLayoutView="130" workbookViewId="0">
      <pane xSplit="3" ySplit="6" topLeftCell="D87" activePane="bottomRight" state="frozen"/>
      <selection pane="topRight" activeCell="D1" sqref="D1"/>
      <selection pane="bottomLeft" activeCell="A7" sqref="A7"/>
      <selection pane="bottomRight" activeCell="M90" sqref="M90"/>
    </sheetView>
  </sheetViews>
  <sheetFormatPr defaultColWidth="9.109375" defaultRowHeight="13.8" x14ac:dyDescent="0.3"/>
  <cols>
    <col min="1" max="1" width="3.6640625" style="24" customWidth="1"/>
    <col min="2" max="2" width="31.33203125" style="25" customWidth="1"/>
    <col min="3" max="3" width="18" style="25" customWidth="1"/>
    <col min="4" max="4" width="12.109375" style="25" customWidth="1"/>
    <col min="5" max="5" width="7.109375" style="26" customWidth="1"/>
    <col min="6" max="6" width="9.88671875" style="59" customWidth="1"/>
    <col min="7" max="7" width="14.109375" style="23" customWidth="1"/>
    <col min="8" max="8" width="12.6640625" style="23" customWidth="1"/>
    <col min="9" max="9" width="12.33203125" style="23" customWidth="1"/>
    <col min="10" max="10" width="12.5546875" style="23" customWidth="1"/>
    <col min="11" max="11" width="12" style="27" customWidth="1"/>
    <col min="12" max="12" width="12.33203125" style="23" customWidth="1"/>
    <col min="13" max="13" width="12.33203125" style="116" customWidth="1"/>
    <col min="14" max="15" width="14.88671875" style="23" bestFit="1" customWidth="1"/>
    <col min="16" max="16" width="9.109375" style="23"/>
    <col min="17" max="17" width="10.5546875" style="23" customWidth="1"/>
    <col min="18" max="18" width="13.44140625" style="23" bestFit="1" customWidth="1"/>
    <col min="19" max="16384" width="9.109375" style="23"/>
  </cols>
  <sheetData>
    <row r="1" spans="1:16" ht="30.75" customHeight="1" x14ac:dyDescent="0.3">
      <c r="A1" s="189"/>
      <c r="B1" s="189"/>
      <c r="C1" s="101"/>
      <c r="D1" s="100"/>
      <c r="E1" s="4"/>
      <c r="F1" s="52"/>
      <c r="G1" s="91"/>
      <c r="H1" s="190" t="s">
        <v>158</v>
      </c>
      <c r="I1" s="190"/>
      <c r="J1" s="190"/>
      <c r="K1" s="190"/>
      <c r="L1" s="190"/>
      <c r="M1" s="190"/>
      <c r="N1" s="163" t="s">
        <v>175</v>
      </c>
      <c r="O1" s="163"/>
      <c r="P1" s="163"/>
    </row>
    <row r="2" spans="1:16" ht="13.5" customHeight="1" x14ac:dyDescent="0.3">
      <c r="B2" s="23"/>
      <c r="C2" s="100"/>
      <c r="D2" s="100"/>
      <c r="E2" s="4"/>
      <c r="F2" s="52"/>
      <c r="G2" s="91"/>
      <c r="H2" s="130"/>
      <c r="I2" s="130"/>
      <c r="J2" s="130"/>
      <c r="K2" s="130"/>
      <c r="L2" s="130"/>
      <c r="M2" s="109"/>
    </row>
    <row r="3" spans="1:16" ht="12.75" customHeight="1" x14ac:dyDescent="0.3">
      <c r="A3" s="191" t="s">
        <v>157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10"/>
      <c r="N3" s="70"/>
    </row>
    <row r="4" spans="1:16" x14ac:dyDescent="0.3">
      <c r="A4" s="15"/>
      <c r="B4" s="132"/>
      <c r="C4" s="132"/>
      <c r="D4" s="132"/>
      <c r="E4" s="6"/>
      <c r="F4" s="53"/>
      <c r="G4" s="18"/>
      <c r="H4" s="18"/>
      <c r="I4" s="18"/>
      <c r="J4" s="192"/>
      <c r="K4" s="192"/>
      <c r="L4" s="192"/>
      <c r="M4" s="111"/>
      <c r="N4" s="23" t="s">
        <v>168</v>
      </c>
    </row>
    <row r="5" spans="1:16" ht="17.25" customHeight="1" x14ac:dyDescent="0.3">
      <c r="A5" s="193" t="s">
        <v>0</v>
      </c>
      <c r="B5" s="194" t="s">
        <v>97</v>
      </c>
      <c r="C5" s="194" t="s">
        <v>2</v>
      </c>
      <c r="D5" s="194" t="s">
        <v>10</v>
      </c>
      <c r="E5" s="193" t="s">
        <v>95</v>
      </c>
      <c r="F5" s="193"/>
      <c r="G5" s="195" t="s">
        <v>44</v>
      </c>
      <c r="H5" s="196"/>
      <c r="I5" s="196"/>
      <c r="J5" s="196"/>
      <c r="K5" s="196"/>
      <c r="L5" s="196"/>
      <c r="M5" s="197"/>
      <c r="N5" s="23" t="s">
        <v>177</v>
      </c>
    </row>
    <row r="6" spans="1:16" ht="30.6" x14ac:dyDescent="0.3">
      <c r="A6" s="193"/>
      <c r="B6" s="194"/>
      <c r="C6" s="194"/>
      <c r="D6" s="194"/>
      <c r="E6" s="131" t="s">
        <v>94</v>
      </c>
      <c r="F6" s="54" t="s">
        <v>96</v>
      </c>
      <c r="G6" s="131" t="s">
        <v>11</v>
      </c>
      <c r="H6" s="131" t="s">
        <v>3</v>
      </c>
      <c r="I6" s="131" t="s">
        <v>4</v>
      </c>
      <c r="J6" s="131" t="s">
        <v>5</v>
      </c>
      <c r="K6" s="131" t="s">
        <v>58</v>
      </c>
      <c r="L6" s="131" t="s">
        <v>72</v>
      </c>
      <c r="M6" s="62" t="s">
        <v>122</v>
      </c>
      <c r="N6" s="154" t="s">
        <v>178</v>
      </c>
    </row>
    <row r="7" spans="1:16" x14ac:dyDescent="0.3">
      <c r="A7" s="127">
        <v>1</v>
      </c>
      <c r="B7" s="128">
        <v>2</v>
      </c>
      <c r="C7" s="128">
        <v>3</v>
      </c>
      <c r="D7" s="128">
        <v>4</v>
      </c>
      <c r="E7" s="127">
        <v>5</v>
      </c>
      <c r="F7" s="92">
        <v>6</v>
      </c>
      <c r="G7" s="127">
        <v>7</v>
      </c>
      <c r="H7" s="127">
        <v>8</v>
      </c>
      <c r="I7" s="127">
        <v>9</v>
      </c>
      <c r="J7" s="127">
        <v>10</v>
      </c>
      <c r="K7" s="93">
        <v>11</v>
      </c>
      <c r="L7" s="127">
        <v>12</v>
      </c>
      <c r="M7" s="112">
        <v>13</v>
      </c>
      <c r="N7" s="23" t="s">
        <v>134</v>
      </c>
    </row>
    <row r="8" spans="1:16" ht="43.5" customHeight="1" x14ac:dyDescent="0.3">
      <c r="A8" s="187">
        <v>1</v>
      </c>
      <c r="B8" s="159" t="s">
        <v>6</v>
      </c>
      <c r="C8" s="160" t="s">
        <v>155</v>
      </c>
      <c r="D8" s="128" t="s">
        <v>12</v>
      </c>
      <c r="E8" s="131" t="s">
        <v>17</v>
      </c>
      <c r="F8" s="54" t="s">
        <v>100</v>
      </c>
      <c r="G8" s="30">
        <f>H8+I8+J8+K8+L8+M8</f>
        <v>26721109914.039997</v>
      </c>
      <c r="H8" s="30">
        <f>H9+H10+H11</f>
        <v>3791445870.6199999</v>
      </c>
      <c r="I8" s="30">
        <f t="shared" ref="I8:L8" si="0">I9+I10+I11</f>
        <v>4004499715.1599998</v>
      </c>
      <c r="J8" s="30">
        <f t="shared" si="0"/>
        <v>4346529115.75</v>
      </c>
      <c r="K8" s="30">
        <f t="shared" si="0"/>
        <v>4619958555.25</v>
      </c>
      <c r="L8" s="30">
        <f t="shared" si="0"/>
        <v>4832485805.2300005</v>
      </c>
      <c r="M8" s="64">
        <f>M9+M10+M11</f>
        <v>5126190852.0299997</v>
      </c>
      <c r="N8" s="98">
        <f>N9+N10+N11</f>
        <v>4765995751.21</v>
      </c>
      <c r="O8" s="98">
        <f>O9+O10+O11</f>
        <v>5126039852.0299997</v>
      </c>
      <c r="P8" s="70">
        <f>M8-M168</f>
        <v>0</v>
      </c>
    </row>
    <row r="9" spans="1:16" ht="48.75" customHeight="1" x14ac:dyDescent="0.3">
      <c r="A9" s="187"/>
      <c r="B9" s="159"/>
      <c r="C9" s="160"/>
      <c r="D9" s="127" t="s">
        <v>119</v>
      </c>
      <c r="E9" s="131" t="s">
        <v>17</v>
      </c>
      <c r="F9" s="54" t="s">
        <v>17</v>
      </c>
      <c r="G9" s="30">
        <f t="shared" ref="G9:G77" si="1">H9+I9+J9+K9+L9+M9</f>
        <v>196049982.30000001</v>
      </c>
      <c r="H9" s="30">
        <f t="shared" ref="H9:J11" si="2">H13</f>
        <v>0</v>
      </c>
      <c r="I9" s="30">
        <f t="shared" si="2"/>
        <v>0</v>
      </c>
      <c r="J9" s="30">
        <f t="shared" si="2"/>
        <v>0</v>
      </c>
      <c r="K9" s="30">
        <f>K13</f>
        <v>54521844.299999997</v>
      </c>
      <c r="L9" s="30">
        <f t="shared" ref="L9:M11" si="3">L13</f>
        <v>54521844.299999997</v>
      </c>
      <c r="M9" s="64">
        <f t="shared" si="3"/>
        <v>87006293.700000003</v>
      </c>
      <c r="N9" s="98">
        <f>L9-L161</f>
        <v>0</v>
      </c>
      <c r="O9" s="98">
        <f>M9-M161</f>
        <v>87006293.700000003</v>
      </c>
    </row>
    <row r="10" spans="1:16" ht="40.5" customHeight="1" x14ac:dyDescent="0.3">
      <c r="A10" s="187"/>
      <c r="B10" s="159"/>
      <c r="C10" s="160"/>
      <c r="D10" s="128" t="s">
        <v>13</v>
      </c>
      <c r="E10" s="131" t="s">
        <v>17</v>
      </c>
      <c r="F10" s="54" t="s">
        <v>17</v>
      </c>
      <c r="G10" s="30">
        <f t="shared" si="1"/>
        <v>18475576581.860001</v>
      </c>
      <c r="H10" s="30">
        <f t="shared" si="2"/>
        <v>2585595100</v>
      </c>
      <c r="I10" s="30">
        <f t="shared" si="2"/>
        <v>2709636417.4000001</v>
      </c>
      <c r="J10" s="30">
        <f t="shared" si="2"/>
        <v>3001827490</v>
      </c>
      <c r="K10" s="30">
        <f>K14</f>
        <v>3240811342.2399998</v>
      </c>
      <c r="L10" s="30">
        <f t="shared" si="3"/>
        <v>3478657424.0700002</v>
      </c>
      <c r="M10" s="64">
        <f>M14</f>
        <v>3459048808.1500001</v>
      </c>
      <c r="N10" s="98">
        <f>L10-L162</f>
        <v>3472673319.21</v>
      </c>
      <c r="O10" s="98">
        <f>M10-M162</f>
        <v>3459048808.1500001</v>
      </c>
      <c r="P10" s="70">
        <f>M10-M170</f>
        <v>0</v>
      </c>
    </row>
    <row r="11" spans="1:16" ht="43.5" customHeight="1" x14ac:dyDescent="0.3">
      <c r="A11" s="187"/>
      <c r="B11" s="159"/>
      <c r="C11" s="160"/>
      <c r="D11" s="128" t="s">
        <v>146</v>
      </c>
      <c r="E11" s="131" t="s">
        <v>17</v>
      </c>
      <c r="F11" s="54" t="s">
        <v>17</v>
      </c>
      <c r="G11" s="30">
        <f t="shared" si="1"/>
        <v>8049483349.8799992</v>
      </c>
      <c r="H11" s="30">
        <f>H15</f>
        <v>1205850770.6199999</v>
      </c>
      <c r="I11" s="30">
        <f t="shared" si="2"/>
        <v>1294863297.7599998</v>
      </c>
      <c r="J11" s="30">
        <f t="shared" si="2"/>
        <v>1344701625.75</v>
      </c>
      <c r="K11" s="30">
        <f>K15</f>
        <v>1324625368.7099998</v>
      </c>
      <c r="L11" s="30">
        <f t="shared" si="3"/>
        <v>1299306536.8599999</v>
      </c>
      <c r="M11" s="64">
        <f>M15</f>
        <v>1580135750.1800001</v>
      </c>
      <c r="N11" s="98">
        <f>L11-L65-L147-L163</f>
        <v>1293322432</v>
      </c>
      <c r="O11" s="98">
        <f>M11-M65-M147-M163</f>
        <v>1579984750.1800001</v>
      </c>
      <c r="P11" s="70">
        <f>M11-M171</f>
        <v>0</v>
      </c>
    </row>
    <row r="12" spans="1:16" ht="27.75" customHeight="1" x14ac:dyDescent="0.3">
      <c r="A12" s="187">
        <v>2</v>
      </c>
      <c r="B12" s="160" t="s">
        <v>51</v>
      </c>
      <c r="C12" s="160" t="s">
        <v>127</v>
      </c>
      <c r="D12" s="128" t="s">
        <v>12</v>
      </c>
      <c r="E12" s="131" t="s">
        <v>17</v>
      </c>
      <c r="F12" s="54" t="s">
        <v>17</v>
      </c>
      <c r="G12" s="30">
        <f t="shared" si="1"/>
        <v>26721109914.039997</v>
      </c>
      <c r="H12" s="30">
        <f>H13+H14+H15</f>
        <v>3791445870.6199999</v>
      </c>
      <c r="I12" s="30">
        <f t="shared" ref="I12:M12" si="4">I13+I14+I15</f>
        <v>4004499715.1599998</v>
      </c>
      <c r="J12" s="30">
        <f t="shared" si="4"/>
        <v>4346529115.75</v>
      </c>
      <c r="K12" s="30">
        <f t="shared" si="4"/>
        <v>4619958555.25</v>
      </c>
      <c r="L12" s="30">
        <f t="shared" si="4"/>
        <v>4832485805.2300005</v>
      </c>
      <c r="M12" s="64">
        <f t="shared" si="4"/>
        <v>5126190852.0299997</v>
      </c>
      <c r="N12" s="99" t="s">
        <v>72</v>
      </c>
      <c r="O12" s="99" t="s">
        <v>122</v>
      </c>
    </row>
    <row r="13" spans="1:16" ht="48" customHeight="1" x14ac:dyDescent="0.3">
      <c r="A13" s="187"/>
      <c r="B13" s="160"/>
      <c r="C13" s="160"/>
      <c r="D13" s="127" t="s">
        <v>119</v>
      </c>
      <c r="E13" s="131" t="s">
        <v>17</v>
      </c>
      <c r="F13" s="54" t="s">
        <v>17</v>
      </c>
      <c r="G13" s="30">
        <f t="shared" si="1"/>
        <v>196049982.30000001</v>
      </c>
      <c r="H13" s="30">
        <f>H33</f>
        <v>0</v>
      </c>
      <c r="I13" s="30">
        <f t="shared" ref="I13:J13" si="5">I33</f>
        <v>0</v>
      </c>
      <c r="J13" s="30">
        <f t="shared" si="5"/>
        <v>0</v>
      </c>
      <c r="K13" s="30">
        <f>K33</f>
        <v>54521844.299999997</v>
      </c>
      <c r="L13" s="30">
        <f t="shared" ref="L13:M13" si="6">L33</f>
        <v>54521844.299999997</v>
      </c>
      <c r="M13" s="64">
        <f t="shared" si="6"/>
        <v>87006293.700000003</v>
      </c>
    </row>
    <row r="14" spans="1:16" ht="45.75" customHeight="1" x14ac:dyDescent="0.3">
      <c r="A14" s="187"/>
      <c r="B14" s="160"/>
      <c r="C14" s="160"/>
      <c r="D14" s="128" t="s">
        <v>13</v>
      </c>
      <c r="E14" s="131" t="s">
        <v>17</v>
      </c>
      <c r="F14" s="54" t="s">
        <v>17</v>
      </c>
      <c r="G14" s="30">
        <f t="shared" si="1"/>
        <v>18475576581.860001</v>
      </c>
      <c r="H14" s="30">
        <f>H21+H34</f>
        <v>2585595100</v>
      </c>
      <c r="I14" s="30">
        <f>I21+I24+I34</f>
        <v>2709636417.4000001</v>
      </c>
      <c r="J14" s="30">
        <f>J21+J24+J34</f>
        <v>3001827490</v>
      </c>
      <c r="K14" s="30">
        <f>K21+K24+K34</f>
        <v>3240811342.2399998</v>
      </c>
      <c r="L14" s="30">
        <f>L21+L24+L29+L34</f>
        <v>3478657424.0700002</v>
      </c>
      <c r="M14" s="64">
        <f>M21+M24+M34</f>
        <v>3459048808.1500001</v>
      </c>
    </row>
    <row r="15" spans="1:16" ht="54.75" customHeight="1" x14ac:dyDescent="0.3">
      <c r="A15" s="187"/>
      <c r="B15" s="160"/>
      <c r="C15" s="160"/>
      <c r="D15" s="128" t="s">
        <v>146</v>
      </c>
      <c r="E15" s="131" t="s">
        <v>17</v>
      </c>
      <c r="F15" s="54" t="s">
        <v>17</v>
      </c>
      <c r="G15" s="30">
        <f t="shared" si="1"/>
        <v>8049483349.8799992</v>
      </c>
      <c r="H15" s="30">
        <f>H17+H22+H25+H26+H28+H31+H35</f>
        <v>1205850770.6199999</v>
      </c>
      <c r="I15" s="30">
        <f>I17+I22+I25+I26+I28+I31+I35</f>
        <v>1294863297.7599998</v>
      </c>
      <c r="J15" s="30">
        <f>J17+J22+J25+J26+J28+J31+J35</f>
        <v>1344701625.75</v>
      </c>
      <c r="K15" s="30">
        <f>K17+K22+K25+K26+K28+K31+K35</f>
        <v>1324625368.7099998</v>
      </c>
      <c r="L15" s="30">
        <f>L17+L22+L25+L26+L30+L31+L35</f>
        <v>1299306536.8599999</v>
      </c>
      <c r="M15" s="64">
        <f>M17+M22+M25+M26+M28+M31+M35</f>
        <v>1580135750.1800001</v>
      </c>
    </row>
    <row r="16" spans="1:16" ht="12.75" customHeight="1" x14ac:dyDescent="0.3">
      <c r="A16" s="187">
        <v>3</v>
      </c>
      <c r="B16" s="160" t="s">
        <v>132</v>
      </c>
      <c r="C16" s="188" t="s">
        <v>62</v>
      </c>
      <c r="D16" s="128" t="s">
        <v>1</v>
      </c>
      <c r="E16" s="131">
        <v>741</v>
      </c>
      <c r="F16" s="54" t="s">
        <v>99</v>
      </c>
      <c r="G16" s="30">
        <f t="shared" si="1"/>
        <v>347002173.34000003</v>
      </c>
      <c r="H16" s="30">
        <f>H17</f>
        <v>57929000</v>
      </c>
      <c r="I16" s="30">
        <f t="shared" ref="I16:M17" si="7">I17</f>
        <v>52824000</v>
      </c>
      <c r="J16" s="30">
        <f t="shared" si="7"/>
        <v>55477492</v>
      </c>
      <c r="K16" s="30">
        <f t="shared" si="7"/>
        <v>56567177.340000004</v>
      </c>
      <c r="L16" s="30">
        <f t="shared" si="7"/>
        <v>61727252</v>
      </c>
      <c r="M16" s="64">
        <f t="shared" si="7"/>
        <v>62477252</v>
      </c>
    </row>
    <row r="17" spans="1:13" ht="30.6" x14ac:dyDescent="0.3">
      <c r="A17" s="187"/>
      <c r="B17" s="160"/>
      <c r="C17" s="188"/>
      <c r="D17" s="128" t="s">
        <v>146</v>
      </c>
      <c r="E17" s="131">
        <v>741</v>
      </c>
      <c r="F17" s="54" t="s">
        <v>99</v>
      </c>
      <c r="G17" s="30">
        <f t="shared" si="1"/>
        <v>347002173.34000003</v>
      </c>
      <c r="H17" s="30">
        <f>H18</f>
        <v>57929000</v>
      </c>
      <c r="I17" s="30">
        <f t="shared" si="7"/>
        <v>52824000</v>
      </c>
      <c r="J17" s="30">
        <f t="shared" si="7"/>
        <v>55477492</v>
      </c>
      <c r="K17" s="30">
        <f>K18+K19</f>
        <v>56567177.340000004</v>
      </c>
      <c r="L17" s="30">
        <f t="shared" ref="L17" si="8">L18+L19</f>
        <v>61727252</v>
      </c>
      <c r="M17" s="64">
        <f>M18+M19</f>
        <v>62477252</v>
      </c>
    </row>
    <row r="18" spans="1:13" ht="51" x14ac:dyDescent="0.3">
      <c r="A18" s="127">
        <v>4</v>
      </c>
      <c r="B18" s="124" t="s">
        <v>47</v>
      </c>
      <c r="C18" s="128" t="s">
        <v>62</v>
      </c>
      <c r="D18" s="128" t="s">
        <v>146</v>
      </c>
      <c r="E18" s="131">
        <v>741</v>
      </c>
      <c r="F18" s="54" t="s">
        <v>99</v>
      </c>
      <c r="G18" s="30">
        <f t="shared" si="1"/>
        <v>347002173.34000003</v>
      </c>
      <c r="H18" s="30">
        <f>62814600+100000-3150000-1835600</f>
        <v>57929000</v>
      </c>
      <c r="I18" s="30">
        <f>58532200-603200-605000-4500000</f>
        <v>52824000</v>
      </c>
      <c r="J18" s="30">
        <f>62873811.6-4084338.6+1711019-3523000-1500000</f>
        <v>55477492</v>
      </c>
      <c r="K18" s="30">
        <v>56567177.340000004</v>
      </c>
      <c r="L18" s="30">
        <v>61727252</v>
      </c>
      <c r="M18" s="66">
        <v>62477252</v>
      </c>
    </row>
    <row r="19" spans="1:13" ht="30.6" x14ac:dyDescent="0.3">
      <c r="A19" s="127">
        <v>5</v>
      </c>
      <c r="B19" s="124" t="s">
        <v>54</v>
      </c>
      <c r="C19" s="128" t="s">
        <v>62</v>
      </c>
      <c r="D19" s="128" t="s">
        <v>43</v>
      </c>
      <c r="E19" s="131">
        <v>741</v>
      </c>
      <c r="F19" s="54" t="s">
        <v>17</v>
      </c>
      <c r="G19" s="30">
        <f t="shared" si="1"/>
        <v>0</v>
      </c>
      <c r="H19" s="30">
        <v>0</v>
      </c>
      <c r="I19" s="30">
        <v>0</v>
      </c>
      <c r="J19" s="30">
        <v>0</v>
      </c>
      <c r="K19" s="31">
        <v>0</v>
      </c>
      <c r="L19" s="31">
        <v>0</v>
      </c>
      <c r="M19" s="108">
        <v>0</v>
      </c>
    </row>
    <row r="20" spans="1:13" ht="12.75" customHeight="1" x14ac:dyDescent="0.3">
      <c r="A20" s="187">
        <v>6</v>
      </c>
      <c r="B20" s="160" t="s">
        <v>52</v>
      </c>
      <c r="C20" s="160" t="s">
        <v>62</v>
      </c>
      <c r="D20" s="128" t="s">
        <v>12</v>
      </c>
      <c r="E20" s="131">
        <v>741</v>
      </c>
      <c r="F20" s="54" t="s">
        <v>17</v>
      </c>
      <c r="G20" s="30">
        <f t="shared" si="1"/>
        <v>25162281744.279999</v>
      </c>
      <c r="H20" s="30">
        <f t="shared" ref="H20:M20" si="9">H21+H22</f>
        <v>3594784509.6199999</v>
      </c>
      <c r="I20" s="30">
        <f t="shared" si="9"/>
        <v>3777859702.8999996</v>
      </c>
      <c r="J20" s="30">
        <f t="shared" si="9"/>
        <v>4193063807.1999998</v>
      </c>
      <c r="K20" s="30">
        <f t="shared" si="9"/>
        <v>4423664091.8800001</v>
      </c>
      <c r="L20" s="30">
        <f t="shared" si="9"/>
        <v>4555351652.5</v>
      </c>
      <c r="M20" s="64">
        <f t="shared" si="9"/>
        <v>4617557980.1800003</v>
      </c>
    </row>
    <row r="21" spans="1:13" x14ac:dyDescent="0.3">
      <c r="A21" s="187"/>
      <c r="B21" s="160"/>
      <c r="C21" s="160"/>
      <c r="D21" s="128" t="s">
        <v>13</v>
      </c>
      <c r="E21" s="131">
        <v>741</v>
      </c>
      <c r="F21" s="54" t="s">
        <v>17</v>
      </c>
      <c r="G21" s="30">
        <f t="shared" si="1"/>
        <v>18390408473.059998</v>
      </c>
      <c r="H21" s="30">
        <f>H40</f>
        <v>2585595100</v>
      </c>
      <c r="I21" s="30">
        <f t="shared" ref="I21:J22" si="10">I40</f>
        <v>2699752800</v>
      </c>
      <c r="J21" s="30">
        <f t="shared" si="10"/>
        <v>3001827490</v>
      </c>
      <c r="K21" s="30">
        <f>K37</f>
        <v>3229508033.0599999</v>
      </c>
      <c r="L21" s="30">
        <f t="shared" ref="L21:M22" si="11">L37</f>
        <v>3416021700</v>
      </c>
      <c r="M21" s="64">
        <f t="shared" si="11"/>
        <v>3457703350</v>
      </c>
    </row>
    <row r="22" spans="1:13" ht="30.6" x14ac:dyDescent="0.3">
      <c r="A22" s="187"/>
      <c r="B22" s="160"/>
      <c r="C22" s="160"/>
      <c r="D22" s="128" t="s">
        <v>146</v>
      </c>
      <c r="E22" s="131">
        <v>741</v>
      </c>
      <c r="F22" s="54" t="s">
        <v>17</v>
      </c>
      <c r="G22" s="30">
        <f t="shared" si="1"/>
        <v>6771873271.2200003</v>
      </c>
      <c r="H22" s="30">
        <f>H41</f>
        <v>1009189409.62</v>
      </c>
      <c r="I22" s="30">
        <f t="shared" si="10"/>
        <v>1078106902.8999999</v>
      </c>
      <c r="J22" s="30">
        <f t="shared" si="10"/>
        <v>1191236317.2</v>
      </c>
      <c r="K22" s="30">
        <f>K38</f>
        <v>1194156058.8199999</v>
      </c>
      <c r="L22" s="30">
        <f t="shared" si="11"/>
        <v>1139329952.5</v>
      </c>
      <c r="M22" s="64">
        <f>M38</f>
        <v>1159854630.1800001</v>
      </c>
    </row>
    <row r="23" spans="1:13" ht="39" customHeight="1" x14ac:dyDescent="0.3">
      <c r="A23" s="173">
        <v>7</v>
      </c>
      <c r="B23" s="184" t="s">
        <v>73</v>
      </c>
      <c r="C23" s="167" t="s">
        <v>128</v>
      </c>
      <c r="D23" s="128" t="s">
        <v>12</v>
      </c>
      <c r="E23" s="131" t="s">
        <v>17</v>
      </c>
      <c r="F23" s="54" t="s">
        <v>17</v>
      </c>
      <c r="G23" s="30">
        <f t="shared" si="1"/>
        <v>338953964.60000002</v>
      </c>
      <c r="H23" s="30">
        <f>H24+H25</f>
        <v>42401900</v>
      </c>
      <c r="I23" s="30">
        <f t="shared" ref="I23:M23" si="12">I24+I25</f>
        <v>62724066.529999994</v>
      </c>
      <c r="J23" s="30">
        <f t="shared" si="12"/>
        <v>83285518.75</v>
      </c>
      <c r="K23" s="30">
        <f t="shared" si="12"/>
        <v>60687648.75</v>
      </c>
      <c r="L23" s="30">
        <f t="shared" si="12"/>
        <v>47191869.57</v>
      </c>
      <c r="M23" s="64">
        <f t="shared" si="12"/>
        <v>42662961</v>
      </c>
    </row>
    <row r="24" spans="1:13" x14ac:dyDescent="0.3">
      <c r="A24" s="174"/>
      <c r="B24" s="185"/>
      <c r="C24" s="168"/>
      <c r="D24" s="128" t="s">
        <v>13</v>
      </c>
      <c r="E24" s="131" t="s">
        <v>17</v>
      </c>
      <c r="F24" s="54" t="s">
        <v>17</v>
      </c>
      <c r="G24" s="30">
        <f t="shared" si="1"/>
        <v>9883617.4000000004</v>
      </c>
      <c r="H24" s="30">
        <f>H59</f>
        <v>0</v>
      </c>
      <c r="I24" s="30">
        <f t="shared" ref="I24:J24" si="13">I59</f>
        <v>9883617.4000000004</v>
      </c>
      <c r="J24" s="30">
        <f t="shared" si="13"/>
        <v>0</v>
      </c>
      <c r="K24" s="30">
        <f>K56</f>
        <v>0</v>
      </c>
      <c r="L24" s="30">
        <f t="shared" ref="L24:M25" si="14">L56</f>
        <v>0</v>
      </c>
      <c r="M24" s="64">
        <f t="shared" si="14"/>
        <v>0</v>
      </c>
    </row>
    <row r="25" spans="1:13" ht="45" customHeight="1" x14ac:dyDescent="0.3">
      <c r="A25" s="175"/>
      <c r="B25" s="186"/>
      <c r="C25" s="169"/>
      <c r="D25" s="128" t="s">
        <v>146</v>
      </c>
      <c r="E25" s="131" t="s">
        <v>17</v>
      </c>
      <c r="F25" s="54" t="s">
        <v>17</v>
      </c>
      <c r="G25" s="30">
        <f t="shared" si="1"/>
        <v>329070347.19999999</v>
      </c>
      <c r="H25" s="30">
        <f t="shared" ref="H25:J25" si="15">H57</f>
        <v>42401900</v>
      </c>
      <c r="I25" s="30">
        <f t="shared" si="15"/>
        <v>52840449.129999995</v>
      </c>
      <c r="J25" s="30">
        <f t="shared" si="15"/>
        <v>83285518.75</v>
      </c>
      <c r="K25" s="30">
        <f>K57</f>
        <v>60687648.75</v>
      </c>
      <c r="L25" s="30">
        <f t="shared" si="14"/>
        <v>47191869.57</v>
      </c>
      <c r="M25" s="64">
        <f t="shared" si="14"/>
        <v>42662961</v>
      </c>
    </row>
    <row r="26" spans="1:13" ht="51" x14ac:dyDescent="0.3">
      <c r="A26" s="127">
        <v>8</v>
      </c>
      <c r="B26" s="19" t="s">
        <v>74</v>
      </c>
      <c r="C26" s="124" t="s">
        <v>65</v>
      </c>
      <c r="D26" s="128" t="s">
        <v>146</v>
      </c>
      <c r="E26" s="131">
        <v>737</v>
      </c>
      <c r="F26" s="54" t="s">
        <v>17</v>
      </c>
      <c r="G26" s="30">
        <f t="shared" si="1"/>
        <v>180182951.73000002</v>
      </c>
      <c r="H26" s="30">
        <f t="shared" ref="H26:M26" si="16">H76</f>
        <v>83250981</v>
      </c>
      <c r="I26" s="30">
        <f t="shared" si="16"/>
        <v>96931970.730000004</v>
      </c>
      <c r="J26" s="30">
        <f t="shared" si="16"/>
        <v>0</v>
      </c>
      <c r="K26" s="30">
        <f t="shared" si="16"/>
        <v>0</v>
      </c>
      <c r="L26" s="30">
        <f t="shared" si="16"/>
        <v>0</v>
      </c>
      <c r="M26" s="64">
        <f t="shared" si="16"/>
        <v>0</v>
      </c>
    </row>
    <row r="27" spans="1:13" ht="30.6" x14ac:dyDescent="0.3">
      <c r="A27" s="127">
        <v>9</v>
      </c>
      <c r="B27" s="124" t="s">
        <v>154</v>
      </c>
      <c r="C27" s="124" t="s">
        <v>62</v>
      </c>
      <c r="D27" s="128" t="s">
        <v>43</v>
      </c>
      <c r="E27" s="131">
        <v>741</v>
      </c>
      <c r="F27" s="54" t="s">
        <v>17</v>
      </c>
      <c r="G27" s="30">
        <f t="shared" si="1"/>
        <v>0</v>
      </c>
      <c r="H27" s="30">
        <f>H87</f>
        <v>0</v>
      </c>
      <c r="I27" s="30">
        <f t="shared" ref="I27:J27" si="17">I87</f>
        <v>0</v>
      </c>
      <c r="J27" s="30">
        <f t="shared" si="17"/>
        <v>0</v>
      </c>
      <c r="K27" s="30">
        <f>K87</f>
        <v>0</v>
      </c>
      <c r="L27" s="30">
        <f t="shared" ref="L27:M27" si="18">L87</f>
        <v>0</v>
      </c>
      <c r="M27" s="64">
        <f t="shared" si="18"/>
        <v>0</v>
      </c>
    </row>
    <row r="28" spans="1:13" ht="25.5" customHeight="1" x14ac:dyDescent="0.3">
      <c r="A28" s="173">
        <v>10</v>
      </c>
      <c r="B28" s="167" t="s">
        <v>76</v>
      </c>
      <c r="C28" s="167" t="s">
        <v>62</v>
      </c>
      <c r="D28" s="128" t="s">
        <v>1</v>
      </c>
      <c r="E28" s="131">
        <v>741</v>
      </c>
      <c r="F28" s="54" t="s">
        <v>17</v>
      </c>
      <c r="G28" s="30">
        <f t="shared" si="1"/>
        <v>413879264.92999995</v>
      </c>
      <c r="H28" s="30">
        <f t="shared" ref="H28:K28" si="19">H29+H30</f>
        <v>1765980</v>
      </c>
      <c r="I28" s="30">
        <f t="shared" si="19"/>
        <v>1934430</v>
      </c>
      <c r="J28" s="30">
        <f t="shared" si="19"/>
        <v>2114330</v>
      </c>
      <c r="K28" s="30">
        <f t="shared" si="19"/>
        <v>0</v>
      </c>
      <c r="L28" s="30">
        <f>L29+L30</f>
        <v>101229681.64</v>
      </c>
      <c r="M28" s="64">
        <f>M29+M30</f>
        <v>306834843.28999996</v>
      </c>
    </row>
    <row r="29" spans="1:13" x14ac:dyDescent="0.3">
      <c r="A29" s="174"/>
      <c r="B29" s="168"/>
      <c r="C29" s="168"/>
      <c r="D29" s="128" t="s">
        <v>13</v>
      </c>
      <c r="E29" s="131">
        <v>741</v>
      </c>
      <c r="F29" s="54" t="s">
        <v>17</v>
      </c>
      <c r="G29" s="30">
        <f t="shared" si="1"/>
        <v>325352056.23999995</v>
      </c>
      <c r="H29" s="30">
        <f>H85</f>
        <v>0</v>
      </c>
      <c r="I29" s="30">
        <f t="shared" ref="I29:M30" si="20">I85</f>
        <v>0</v>
      </c>
      <c r="J29" s="30">
        <f t="shared" si="20"/>
        <v>0</v>
      </c>
      <c r="K29" s="30">
        <f t="shared" si="20"/>
        <v>0</v>
      </c>
      <c r="L29" s="30">
        <f t="shared" si="20"/>
        <v>56651619.210000001</v>
      </c>
      <c r="M29" s="64">
        <f t="shared" si="20"/>
        <v>268700437.02999997</v>
      </c>
    </row>
    <row r="30" spans="1:13" ht="42.75" customHeight="1" x14ac:dyDescent="0.3">
      <c r="A30" s="175"/>
      <c r="B30" s="169"/>
      <c r="C30" s="169"/>
      <c r="D30" s="128" t="s">
        <v>146</v>
      </c>
      <c r="E30" s="131">
        <v>741</v>
      </c>
      <c r="F30" s="54" t="s">
        <v>17</v>
      </c>
      <c r="G30" s="30">
        <f t="shared" si="1"/>
        <v>88527208.689999998</v>
      </c>
      <c r="H30" s="30">
        <f>H86</f>
        <v>1765980</v>
      </c>
      <c r="I30" s="30">
        <f t="shared" si="20"/>
        <v>1934430</v>
      </c>
      <c r="J30" s="30">
        <f t="shared" si="20"/>
        <v>2114330</v>
      </c>
      <c r="K30" s="30">
        <f t="shared" si="20"/>
        <v>0</v>
      </c>
      <c r="L30" s="30">
        <f t="shared" si="20"/>
        <v>44578062.43</v>
      </c>
      <c r="M30" s="64">
        <f>M86</f>
        <v>38134406.259999998</v>
      </c>
    </row>
    <row r="31" spans="1:13" ht="72.75" customHeight="1" x14ac:dyDescent="0.3">
      <c r="A31" s="127">
        <v>11</v>
      </c>
      <c r="B31" s="124" t="s">
        <v>77</v>
      </c>
      <c r="C31" s="124" t="s">
        <v>156</v>
      </c>
      <c r="D31" s="128" t="s">
        <v>146</v>
      </c>
      <c r="E31" s="131" t="s">
        <v>17</v>
      </c>
      <c r="F31" s="54" t="s">
        <v>17</v>
      </c>
      <c r="G31" s="30">
        <f t="shared" si="1"/>
        <v>56132497.119999997</v>
      </c>
      <c r="H31" s="30">
        <f>H116</f>
        <v>11313500</v>
      </c>
      <c r="I31" s="30">
        <f>I116+I132</f>
        <v>12225545</v>
      </c>
      <c r="J31" s="30">
        <f t="shared" ref="J31" si="21">J116+J132</f>
        <v>12587967.800000001</v>
      </c>
      <c r="K31" s="30">
        <f>K116+K132</f>
        <v>12549583.26</v>
      </c>
      <c r="L31" s="30">
        <f t="shared" ref="L31:M31" si="22">L116+L132</f>
        <v>495295.5</v>
      </c>
      <c r="M31" s="64">
        <f t="shared" si="22"/>
        <v>6960605.5599999996</v>
      </c>
    </row>
    <row r="32" spans="1:13" ht="15.75" customHeight="1" x14ac:dyDescent="0.3">
      <c r="A32" s="173">
        <v>12</v>
      </c>
      <c r="B32" s="167" t="s">
        <v>120</v>
      </c>
      <c r="C32" s="167" t="s">
        <v>118</v>
      </c>
      <c r="D32" s="127" t="s">
        <v>1</v>
      </c>
      <c r="E32" s="131">
        <v>706</v>
      </c>
      <c r="F32" s="54" t="s">
        <v>17</v>
      </c>
      <c r="G32" s="30">
        <f t="shared" si="1"/>
        <v>222677318.04000002</v>
      </c>
      <c r="H32" s="30">
        <f>H33+H34+H35</f>
        <v>0</v>
      </c>
      <c r="I32" s="30">
        <f t="shared" ref="I32:M32" si="23">I33+I34+I35</f>
        <v>0</v>
      </c>
      <c r="J32" s="30">
        <f t="shared" si="23"/>
        <v>0</v>
      </c>
      <c r="K32" s="30">
        <f t="shared" si="23"/>
        <v>66490054.019999996</v>
      </c>
      <c r="L32" s="30">
        <f t="shared" si="23"/>
        <v>66490054.019999996</v>
      </c>
      <c r="M32" s="64">
        <f t="shared" si="23"/>
        <v>89697210.000000015</v>
      </c>
    </row>
    <row r="33" spans="1:15" ht="22.5" customHeight="1" x14ac:dyDescent="0.3">
      <c r="A33" s="174"/>
      <c r="B33" s="168"/>
      <c r="C33" s="168"/>
      <c r="D33" s="127" t="s">
        <v>119</v>
      </c>
      <c r="E33" s="131">
        <v>706</v>
      </c>
      <c r="F33" s="54" t="s">
        <v>17</v>
      </c>
      <c r="G33" s="30">
        <f t="shared" si="1"/>
        <v>196049982.30000001</v>
      </c>
      <c r="H33" s="30">
        <f>H149</f>
        <v>0</v>
      </c>
      <c r="I33" s="30">
        <f t="shared" ref="I33:J35" si="24">I149</f>
        <v>0</v>
      </c>
      <c r="J33" s="30">
        <f t="shared" si="24"/>
        <v>0</v>
      </c>
      <c r="K33" s="30">
        <f>K149</f>
        <v>54521844.299999997</v>
      </c>
      <c r="L33" s="30">
        <f t="shared" ref="L33:M35" si="25">L149</f>
        <v>54521844.299999997</v>
      </c>
      <c r="M33" s="64">
        <f t="shared" si="25"/>
        <v>87006293.700000003</v>
      </c>
    </row>
    <row r="34" spans="1:15" ht="15.75" customHeight="1" x14ac:dyDescent="0.3">
      <c r="A34" s="174"/>
      <c r="B34" s="168"/>
      <c r="C34" s="168"/>
      <c r="D34" s="127" t="s">
        <v>13</v>
      </c>
      <c r="E34" s="131">
        <v>706</v>
      </c>
      <c r="F34" s="54" t="s">
        <v>17</v>
      </c>
      <c r="G34" s="30">
        <f t="shared" si="1"/>
        <v>18632872.189999998</v>
      </c>
      <c r="H34" s="30">
        <f>H150</f>
        <v>0</v>
      </c>
      <c r="I34" s="30">
        <f t="shared" si="24"/>
        <v>0</v>
      </c>
      <c r="J34" s="30">
        <f t="shared" si="24"/>
        <v>0</v>
      </c>
      <c r="K34" s="30">
        <f>K150</f>
        <v>11303309.18</v>
      </c>
      <c r="L34" s="30">
        <f t="shared" si="25"/>
        <v>5984104.8600000003</v>
      </c>
      <c r="M34" s="64">
        <f t="shared" si="25"/>
        <v>1345458.15</v>
      </c>
    </row>
    <row r="35" spans="1:15" ht="30.6" x14ac:dyDescent="0.3">
      <c r="A35" s="175"/>
      <c r="B35" s="169"/>
      <c r="C35" s="169"/>
      <c r="D35" s="127" t="s">
        <v>146</v>
      </c>
      <c r="E35" s="131">
        <v>706</v>
      </c>
      <c r="F35" s="54" t="s">
        <v>17</v>
      </c>
      <c r="G35" s="30">
        <f t="shared" si="1"/>
        <v>7994463.5500000007</v>
      </c>
      <c r="H35" s="30">
        <f>H151</f>
        <v>0</v>
      </c>
      <c r="I35" s="30">
        <f t="shared" si="24"/>
        <v>0</v>
      </c>
      <c r="J35" s="30">
        <f t="shared" si="24"/>
        <v>0</v>
      </c>
      <c r="K35" s="30">
        <f>K151</f>
        <v>664900.54</v>
      </c>
      <c r="L35" s="30">
        <f t="shared" si="25"/>
        <v>5984104.8600000003</v>
      </c>
      <c r="M35" s="64">
        <f t="shared" si="25"/>
        <v>1345458.15</v>
      </c>
    </row>
    <row r="36" spans="1:15" ht="12.75" customHeight="1" x14ac:dyDescent="0.3">
      <c r="A36" s="187">
        <v>13</v>
      </c>
      <c r="B36" s="159" t="s">
        <v>14</v>
      </c>
      <c r="C36" s="160" t="s">
        <v>62</v>
      </c>
      <c r="D36" s="128" t="s">
        <v>1</v>
      </c>
      <c r="E36" s="131">
        <v>741</v>
      </c>
      <c r="F36" s="54" t="s">
        <v>101</v>
      </c>
      <c r="G36" s="30">
        <f t="shared" si="1"/>
        <v>25162281744.279999</v>
      </c>
      <c r="H36" s="30">
        <f t="shared" ref="H36:M36" si="26">H37+H38</f>
        <v>3594784509.6199999</v>
      </c>
      <c r="I36" s="30">
        <f t="shared" si="26"/>
        <v>3777859702.8999996</v>
      </c>
      <c r="J36" s="30">
        <f t="shared" si="26"/>
        <v>4193063807.1999998</v>
      </c>
      <c r="K36" s="30">
        <f t="shared" si="26"/>
        <v>4423664091.8800001</v>
      </c>
      <c r="L36" s="30">
        <f t="shared" si="26"/>
        <v>4555351652.5</v>
      </c>
      <c r="M36" s="66">
        <f t="shared" si="26"/>
        <v>4617557980.1800003</v>
      </c>
    </row>
    <row r="37" spans="1:15" x14ac:dyDescent="0.3">
      <c r="A37" s="187"/>
      <c r="B37" s="159"/>
      <c r="C37" s="160"/>
      <c r="D37" s="128" t="s">
        <v>13</v>
      </c>
      <c r="E37" s="131">
        <v>741</v>
      </c>
      <c r="F37" s="54" t="s">
        <v>101</v>
      </c>
      <c r="G37" s="30">
        <f t="shared" si="1"/>
        <v>18390408473.059998</v>
      </c>
      <c r="H37" s="30">
        <f t="shared" ref="H37:M38" si="27">H40</f>
        <v>2585595100</v>
      </c>
      <c r="I37" s="30">
        <f t="shared" si="27"/>
        <v>2699752800</v>
      </c>
      <c r="J37" s="30">
        <f t="shared" si="27"/>
        <v>3001827490</v>
      </c>
      <c r="K37" s="30">
        <f>K40</f>
        <v>3229508033.0599999</v>
      </c>
      <c r="L37" s="30">
        <f t="shared" si="27"/>
        <v>3416021700</v>
      </c>
      <c r="M37" s="64">
        <f t="shared" si="27"/>
        <v>3457703350</v>
      </c>
    </row>
    <row r="38" spans="1:15" ht="30.6" x14ac:dyDescent="0.3">
      <c r="A38" s="187"/>
      <c r="B38" s="159"/>
      <c r="C38" s="160"/>
      <c r="D38" s="128" t="s">
        <v>146</v>
      </c>
      <c r="E38" s="131">
        <v>741</v>
      </c>
      <c r="F38" s="54" t="s">
        <v>101</v>
      </c>
      <c r="G38" s="30">
        <f t="shared" si="1"/>
        <v>6771873271.2200003</v>
      </c>
      <c r="H38" s="30">
        <f t="shared" si="27"/>
        <v>1009189409.62</v>
      </c>
      <c r="I38" s="30">
        <f t="shared" si="27"/>
        <v>1078106902.8999999</v>
      </c>
      <c r="J38" s="30">
        <f t="shared" si="27"/>
        <v>1191236317.2</v>
      </c>
      <c r="K38" s="30">
        <f>K41</f>
        <v>1194156058.8199999</v>
      </c>
      <c r="L38" s="30">
        <f t="shared" si="27"/>
        <v>1139329952.5</v>
      </c>
      <c r="M38" s="64">
        <f t="shared" si="27"/>
        <v>1159854630.1800001</v>
      </c>
    </row>
    <row r="39" spans="1:15" ht="12.75" customHeight="1" x14ac:dyDescent="0.3">
      <c r="A39" s="187">
        <v>14</v>
      </c>
      <c r="B39" s="160" t="s">
        <v>140</v>
      </c>
      <c r="C39" s="160" t="s">
        <v>62</v>
      </c>
      <c r="D39" s="128" t="s">
        <v>1</v>
      </c>
      <c r="E39" s="131">
        <v>741</v>
      </c>
      <c r="F39" s="54" t="s">
        <v>17</v>
      </c>
      <c r="G39" s="30">
        <f t="shared" si="1"/>
        <v>25162281744.279999</v>
      </c>
      <c r="H39" s="30">
        <f t="shared" ref="H39:M39" si="28">H40+H41</f>
        <v>3594784509.6199999</v>
      </c>
      <c r="I39" s="30">
        <f t="shared" si="28"/>
        <v>3777859702.8999996</v>
      </c>
      <c r="J39" s="30">
        <f t="shared" si="28"/>
        <v>4193063807.1999998</v>
      </c>
      <c r="K39" s="30">
        <f t="shared" si="28"/>
        <v>4423664091.8800001</v>
      </c>
      <c r="L39" s="30">
        <f t="shared" si="28"/>
        <v>4555351652.5</v>
      </c>
      <c r="M39" s="64">
        <f t="shared" si="28"/>
        <v>4617557980.1800003</v>
      </c>
    </row>
    <row r="40" spans="1:15" x14ac:dyDescent="0.3">
      <c r="A40" s="187"/>
      <c r="B40" s="160"/>
      <c r="C40" s="160"/>
      <c r="D40" s="128" t="s">
        <v>13</v>
      </c>
      <c r="E40" s="131">
        <v>741</v>
      </c>
      <c r="F40" s="54" t="s">
        <v>17</v>
      </c>
      <c r="G40" s="30">
        <f t="shared" si="1"/>
        <v>18390408473.059998</v>
      </c>
      <c r="H40" s="30">
        <f t="shared" ref="H40:J41" si="29">H43</f>
        <v>2585595100</v>
      </c>
      <c r="I40" s="30">
        <f t="shared" si="29"/>
        <v>2699752800</v>
      </c>
      <c r="J40" s="30">
        <f t="shared" si="29"/>
        <v>3001827490</v>
      </c>
      <c r="K40" s="30">
        <f>K43</f>
        <v>3229508033.0599999</v>
      </c>
      <c r="L40" s="30">
        <f t="shared" ref="L40:M41" si="30">L43</f>
        <v>3416021700</v>
      </c>
      <c r="M40" s="64">
        <f t="shared" si="30"/>
        <v>3457703350</v>
      </c>
    </row>
    <row r="41" spans="1:15" ht="30.6" x14ac:dyDescent="0.3">
      <c r="A41" s="187"/>
      <c r="B41" s="160"/>
      <c r="C41" s="160"/>
      <c r="D41" s="128" t="s">
        <v>146</v>
      </c>
      <c r="E41" s="131">
        <v>741</v>
      </c>
      <c r="F41" s="54" t="s">
        <v>17</v>
      </c>
      <c r="G41" s="30">
        <f t="shared" si="1"/>
        <v>6771873271.2200003</v>
      </c>
      <c r="H41" s="30">
        <f t="shared" si="29"/>
        <v>1009189409.62</v>
      </c>
      <c r="I41" s="30">
        <f t="shared" si="29"/>
        <v>1078106902.8999999</v>
      </c>
      <c r="J41" s="30">
        <f t="shared" si="29"/>
        <v>1191236317.2</v>
      </c>
      <c r="K41" s="30">
        <f>K44</f>
        <v>1194156058.8199999</v>
      </c>
      <c r="L41" s="30">
        <f t="shared" si="30"/>
        <v>1139329952.5</v>
      </c>
      <c r="M41" s="64">
        <f t="shared" si="30"/>
        <v>1159854630.1800001</v>
      </c>
    </row>
    <row r="42" spans="1:15" ht="12.75" customHeight="1" x14ac:dyDescent="0.3">
      <c r="A42" s="187">
        <v>15</v>
      </c>
      <c r="B42" s="160" t="s">
        <v>153</v>
      </c>
      <c r="C42" s="160" t="s">
        <v>62</v>
      </c>
      <c r="D42" s="128" t="s">
        <v>1</v>
      </c>
      <c r="E42" s="131">
        <v>741</v>
      </c>
      <c r="F42" s="54" t="s">
        <v>17</v>
      </c>
      <c r="G42" s="30">
        <f t="shared" si="1"/>
        <v>25162281744.279999</v>
      </c>
      <c r="H42" s="30">
        <f t="shared" ref="H42:M42" si="31">H43+H44</f>
        <v>3594784509.6199999</v>
      </c>
      <c r="I42" s="30">
        <f t="shared" si="31"/>
        <v>3777859702.8999996</v>
      </c>
      <c r="J42" s="30">
        <f t="shared" si="31"/>
        <v>4193063807.1999998</v>
      </c>
      <c r="K42" s="30">
        <f t="shared" si="31"/>
        <v>4423664091.8800001</v>
      </c>
      <c r="L42" s="30">
        <f t="shared" si="31"/>
        <v>4555351652.5</v>
      </c>
      <c r="M42" s="64">
        <f t="shared" si="31"/>
        <v>4617557980.1800003</v>
      </c>
    </row>
    <row r="43" spans="1:15" x14ac:dyDescent="0.3">
      <c r="A43" s="187"/>
      <c r="B43" s="160"/>
      <c r="C43" s="160"/>
      <c r="D43" s="128" t="s">
        <v>13</v>
      </c>
      <c r="E43" s="131">
        <v>741</v>
      </c>
      <c r="F43" s="54" t="s">
        <v>17</v>
      </c>
      <c r="G43" s="30">
        <f t="shared" si="1"/>
        <v>18390408473.059998</v>
      </c>
      <c r="H43" s="30">
        <f>H46+H54</f>
        <v>2585595100</v>
      </c>
      <c r="I43" s="30">
        <f>I46+I52+I54</f>
        <v>2699752800</v>
      </c>
      <c r="J43" s="30">
        <f t="shared" ref="J43" si="32">J46+J52+J54</f>
        <v>3001827490</v>
      </c>
      <c r="K43" s="30">
        <f>K46+K52+K54</f>
        <v>3229508033.0599999</v>
      </c>
      <c r="L43" s="30">
        <f>L46+L47+L52+L54</f>
        <v>3416021700</v>
      </c>
      <c r="M43" s="64">
        <f>M46+M47+M54</f>
        <v>3457703350</v>
      </c>
    </row>
    <row r="44" spans="1:15" ht="54.75" customHeight="1" x14ac:dyDescent="0.3">
      <c r="A44" s="187"/>
      <c r="B44" s="160"/>
      <c r="C44" s="160"/>
      <c r="D44" s="128" t="s">
        <v>146</v>
      </c>
      <c r="E44" s="131">
        <v>741</v>
      </c>
      <c r="F44" s="54" t="s">
        <v>17</v>
      </c>
      <c r="G44" s="30">
        <f t="shared" si="1"/>
        <v>6771873271.2200003</v>
      </c>
      <c r="H44" s="30">
        <f>H48+H49+H50+H51+H52+H53</f>
        <v>1009189409.62</v>
      </c>
      <c r="I44" s="30">
        <f>I48+I49+I50+I51+I53</f>
        <v>1078106902.8999999</v>
      </c>
      <c r="J44" s="30">
        <f t="shared" ref="J44:L44" si="33">J48+J49+J50+J51+J53</f>
        <v>1191236317.2</v>
      </c>
      <c r="K44" s="30">
        <f t="shared" si="33"/>
        <v>1194156058.8199999</v>
      </c>
      <c r="L44" s="30">
        <f t="shared" si="33"/>
        <v>1139329952.5</v>
      </c>
      <c r="M44" s="64">
        <f>M48+M49+M50+M51+M52+M53</f>
        <v>1159854630.1800001</v>
      </c>
    </row>
    <row r="45" spans="1:15" ht="12.75" customHeight="1" x14ac:dyDescent="0.3">
      <c r="A45" s="187">
        <v>16</v>
      </c>
      <c r="B45" s="160" t="s">
        <v>55</v>
      </c>
      <c r="C45" s="160" t="s">
        <v>62</v>
      </c>
      <c r="D45" s="128" t="s">
        <v>1</v>
      </c>
      <c r="E45" s="131">
        <v>741</v>
      </c>
      <c r="F45" s="54" t="s">
        <v>17</v>
      </c>
      <c r="G45" s="30">
        <f t="shared" si="1"/>
        <v>24915693606.27</v>
      </c>
      <c r="H45" s="30">
        <f t="shared" ref="H45:K45" si="34">H46+H48+H47</f>
        <v>3543863168.8199997</v>
      </c>
      <c r="I45" s="30">
        <f t="shared" si="34"/>
        <v>3738279131.3000002</v>
      </c>
      <c r="J45" s="30">
        <f t="shared" si="34"/>
        <v>4136012163</v>
      </c>
      <c r="K45" s="30">
        <f t="shared" si="34"/>
        <v>4394074034.7799997</v>
      </c>
      <c r="L45" s="30">
        <f>L46+L48+L47</f>
        <v>4523866473.6700001</v>
      </c>
      <c r="M45" s="66">
        <f>M46+M48+M47</f>
        <v>4579598634.6999998</v>
      </c>
    </row>
    <row r="46" spans="1:15" x14ac:dyDescent="0.3">
      <c r="A46" s="187"/>
      <c r="B46" s="160"/>
      <c r="C46" s="160"/>
      <c r="D46" s="176" t="s">
        <v>13</v>
      </c>
      <c r="E46" s="131">
        <v>741</v>
      </c>
      <c r="F46" s="54" t="s">
        <v>102</v>
      </c>
      <c r="G46" s="30">
        <f t="shared" si="1"/>
        <v>18129896813.790001</v>
      </c>
      <c r="H46" s="30">
        <f>2532124600+24888100+28582400</f>
        <v>2585595100</v>
      </c>
      <c r="I46" s="30">
        <f>409386300+1088436400+1093393500+31067100-3065300+8955100+33279500+9201900+2592400+1799600+16880400</f>
        <v>2691926900</v>
      </c>
      <c r="J46" s="30">
        <f>2714606200+55222300+16544100+15287300+44398600+69202790+75093200</f>
        <v>2990354490</v>
      </c>
      <c r="K46" s="30">
        <v>3218547523.79</v>
      </c>
      <c r="L46" s="30">
        <v>3356211500</v>
      </c>
      <c r="M46" s="66">
        <f>3265120000+2642700+12382500+6927300+188800</f>
        <v>3287261300</v>
      </c>
    </row>
    <row r="47" spans="1:15" x14ac:dyDescent="0.3">
      <c r="A47" s="187"/>
      <c r="B47" s="160"/>
      <c r="C47" s="160"/>
      <c r="D47" s="178"/>
      <c r="E47" s="131">
        <v>741</v>
      </c>
      <c r="F47" s="54" t="s">
        <v>159</v>
      </c>
      <c r="G47" s="30">
        <f t="shared" si="1"/>
        <v>226812550</v>
      </c>
      <c r="H47" s="30">
        <v>0</v>
      </c>
      <c r="I47" s="30">
        <v>0</v>
      </c>
      <c r="J47" s="30">
        <v>0</v>
      </c>
      <c r="K47" s="30">
        <v>0</v>
      </c>
      <c r="L47" s="30">
        <v>56370500</v>
      </c>
      <c r="M47" s="66">
        <v>170442050</v>
      </c>
    </row>
    <row r="48" spans="1:15" ht="30.6" x14ac:dyDescent="0.3">
      <c r="A48" s="187"/>
      <c r="B48" s="160"/>
      <c r="C48" s="160"/>
      <c r="D48" s="128" t="s">
        <v>146</v>
      </c>
      <c r="E48" s="131">
        <v>741</v>
      </c>
      <c r="F48" s="54" t="s">
        <v>103</v>
      </c>
      <c r="G48" s="30">
        <f t="shared" si="1"/>
        <v>6558984242.4799995</v>
      </c>
      <c r="H48" s="30">
        <f>1100851820-43422600-2132000-25542830-71486321.18</f>
        <v>958268068.81999993</v>
      </c>
      <c r="I48" s="30">
        <f>1069929338-18577106.7-17000000+12000000</f>
        <v>1046352231.3</v>
      </c>
      <c r="J48" s="30">
        <f>1278823157.02-58603394.34-112979206.68+15890306+17004300+16587100-11716267+651678</f>
        <v>1145657673</v>
      </c>
      <c r="K48" s="31">
        <v>1175526510.99</v>
      </c>
      <c r="L48" s="31">
        <v>1111284473.6700001</v>
      </c>
      <c r="M48" s="119">
        <f>1164346902-32451617.3-10000000</f>
        <v>1121895284.7</v>
      </c>
      <c r="N48" s="31">
        <v>1164346902</v>
      </c>
      <c r="O48" s="118">
        <v>-10000000</v>
      </c>
    </row>
    <row r="49" spans="1:15" ht="51" x14ac:dyDescent="0.3">
      <c r="A49" s="127">
        <v>17</v>
      </c>
      <c r="B49" s="21" t="s">
        <v>87</v>
      </c>
      <c r="C49" s="124" t="s">
        <v>62</v>
      </c>
      <c r="D49" s="128" t="s">
        <v>146</v>
      </c>
      <c r="E49" s="131">
        <v>741</v>
      </c>
      <c r="F49" s="54" t="s">
        <v>104</v>
      </c>
      <c r="G49" s="30">
        <f t="shared" si="1"/>
        <v>203381935.67000002</v>
      </c>
      <c r="H49" s="30">
        <f>43422600+3090000-3500000+8050000-2622575.66</f>
        <v>48440024.340000004</v>
      </c>
      <c r="I49" s="30">
        <f>14942760+6811911.6+10000000</f>
        <v>31754671.600000001</v>
      </c>
      <c r="J49" s="30">
        <f>28180610-14363000+6966267+582832.2+3000000+19411935+300000+1500000</f>
        <v>45578644.200000003</v>
      </c>
      <c r="K49" s="30">
        <v>17971495.73</v>
      </c>
      <c r="L49" s="30">
        <v>27281578.5</v>
      </c>
      <c r="M49" s="120">
        <f>25328115.82+7027405.48</f>
        <v>32355521.300000001</v>
      </c>
      <c r="N49" s="70"/>
      <c r="O49" s="118">
        <v>7027405.4800000004</v>
      </c>
    </row>
    <row r="50" spans="1:15" ht="30.6" x14ac:dyDescent="0.3">
      <c r="A50" s="127">
        <v>18</v>
      </c>
      <c r="B50" s="21" t="s">
        <v>59</v>
      </c>
      <c r="C50" s="124" t="s">
        <v>62</v>
      </c>
      <c r="D50" s="128" t="s">
        <v>146</v>
      </c>
      <c r="E50" s="131">
        <v>741</v>
      </c>
      <c r="F50" s="54" t="s">
        <v>123</v>
      </c>
      <c r="G50" s="30">
        <f t="shared" si="1"/>
        <v>4374134.37</v>
      </c>
      <c r="H50" s="30">
        <f>2132000+60000+220000-12667.54</f>
        <v>2399332.46</v>
      </c>
      <c r="I50" s="30">
        <v>0</v>
      </c>
      <c r="J50" s="30">
        <v>0</v>
      </c>
      <c r="K50" s="31">
        <v>658052.1</v>
      </c>
      <c r="L50" s="31">
        <f>500000+192000+71900.33</f>
        <v>763900.33</v>
      </c>
      <c r="M50" s="117">
        <v>552849.48</v>
      </c>
      <c r="O50" s="70"/>
    </row>
    <row r="51" spans="1:15" ht="30.6" x14ac:dyDescent="0.3">
      <c r="A51" s="127">
        <v>19</v>
      </c>
      <c r="B51" s="22" t="s">
        <v>172</v>
      </c>
      <c r="C51" s="124" t="s">
        <v>62</v>
      </c>
      <c r="D51" s="128" t="s">
        <v>146</v>
      </c>
      <c r="E51" s="131">
        <v>741</v>
      </c>
      <c r="F51" s="54" t="s">
        <v>17</v>
      </c>
      <c r="G51" s="30">
        <f t="shared" si="1"/>
        <v>81984</v>
      </c>
      <c r="H51" s="30">
        <f>82520-536</f>
        <v>81984</v>
      </c>
      <c r="I51" s="30">
        <v>0</v>
      </c>
      <c r="J51" s="30">
        <v>0</v>
      </c>
      <c r="K51" s="31">
        <v>0</v>
      </c>
      <c r="L51" s="31">
        <v>0</v>
      </c>
      <c r="M51" s="108">
        <v>0</v>
      </c>
    </row>
    <row r="52" spans="1:15" s="35" customFormat="1" ht="30.6" x14ac:dyDescent="0.3">
      <c r="A52" s="127">
        <v>19</v>
      </c>
      <c r="B52" s="152" t="s">
        <v>179</v>
      </c>
      <c r="C52" s="124" t="s">
        <v>61</v>
      </c>
      <c r="D52" s="128" t="s">
        <v>146</v>
      </c>
      <c r="E52" s="131">
        <v>741</v>
      </c>
      <c r="F52" s="54" t="s">
        <v>17</v>
      </c>
      <c r="G52" s="30">
        <f t="shared" si="1"/>
        <v>5000000</v>
      </c>
      <c r="H52" s="30">
        <v>0</v>
      </c>
      <c r="I52" s="30">
        <f>6550000-6550000</f>
        <v>0</v>
      </c>
      <c r="J52" s="30">
        <f>6550000-6550000</f>
        <v>0</v>
      </c>
      <c r="K52" s="30">
        <f>132980108.04-132980108.04</f>
        <v>0</v>
      </c>
      <c r="L52" s="30">
        <f t="shared" ref="L52" si="35">6550000-6550000</f>
        <v>0</v>
      </c>
      <c r="M52" s="120">
        <v>5000000</v>
      </c>
      <c r="O52" s="121">
        <v>5000000</v>
      </c>
    </row>
    <row r="53" spans="1:15" ht="49.5" customHeight="1" x14ac:dyDescent="0.3">
      <c r="A53" s="127">
        <v>20</v>
      </c>
      <c r="B53" s="22" t="s">
        <v>67</v>
      </c>
      <c r="C53" s="124" t="s">
        <v>62</v>
      </c>
      <c r="D53" s="128" t="s">
        <v>146</v>
      </c>
      <c r="E53" s="131">
        <v>741</v>
      </c>
      <c r="F53" s="54" t="s">
        <v>105</v>
      </c>
      <c r="G53" s="30">
        <f t="shared" si="1"/>
        <v>50974.7</v>
      </c>
      <c r="H53" s="30">
        <v>0</v>
      </c>
      <c r="I53" s="30">
        <f>1186029-1186029</f>
        <v>0</v>
      </c>
      <c r="J53" s="30">
        <f>1970670-784641-1186029</f>
        <v>0</v>
      </c>
      <c r="K53" s="30">
        <f>1762877-576848-1186029</f>
        <v>0</v>
      </c>
      <c r="L53" s="30">
        <v>0</v>
      </c>
      <c r="M53" s="66">
        <v>50974.7</v>
      </c>
    </row>
    <row r="54" spans="1:15" ht="95.25" customHeight="1" x14ac:dyDescent="0.3">
      <c r="A54" s="125">
        <v>21</v>
      </c>
      <c r="B54" s="126" t="s">
        <v>89</v>
      </c>
      <c r="C54" s="124" t="s">
        <v>62</v>
      </c>
      <c r="D54" s="128" t="s">
        <v>13</v>
      </c>
      <c r="E54" s="131">
        <v>741</v>
      </c>
      <c r="F54" s="54" t="s">
        <v>106</v>
      </c>
      <c r="G54" s="30">
        <f t="shared" si="1"/>
        <v>33699109.269999996</v>
      </c>
      <c r="H54" s="30">
        <v>0</v>
      </c>
      <c r="I54" s="30">
        <v>7825900</v>
      </c>
      <c r="J54" s="30">
        <f>4455300+1292000+5725700</f>
        <v>11473000</v>
      </c>
      <c r="K54" s="30">
        <v>10960509.27</v>
      </c>
      <c r="L54" s="30">
        <v>3439700</v>
      </c>
      <c r="M54" s="66">
        <v>0</v>
      </c>
    </row>
    <row r="55" spans="1:15" ht="12.75" customHeight="1" x14ac:dyDescent="0.3">
      <c r="A55" s="173">
        <v>22</v>
      </c>
      <c r="B55" s="179" t="s">
        <v>15</v>
      </c>
      <c r="C55" s="167" t="s">
        <v>128</v>
      </c>
      <c r="D55" s="128" t="s">
        <v>1</v>
      </c>
      <c r="E55" s="131" t="s">
        <v>17</v>
      </c>
      <c r="F55" s="54" t="s">
        <v>107</v>
      </c>
      <c r="G55" s="30">
        <f t="shared" si="1"/>
        <v>338953964.60000002</v>
      </c>
      <c r="H55" s="30">
        <f>H56+H57</f>
        <v>42401900</v>
      </c>
      <c r="I55" s="30">
        <f>I56+I57</f>
        <v>62724066.529999994</v>
      </c>
      <c r="J55" s="30">
        <f t="shared" ref="J55:M55" si="36">J56+J57</f>
        <v>83285518.75</v>
      </c>
      <c r="K55" s="30">
        <f t="shared" si="36"/>
        <v>60687648.75</v>
      </c>
      <c r="L55" s="30">
        <f t="shared" si="36"/>
        <v>47191869.57</v>
      </c>
      <c r="M55" s="66">
        <f t="shared" si="36"/>
        <v>42662961</v>
      </c>
    </row>
    <row r="56" spans="1:15" ht="12.75" customHeight="1" x14ac:dyDescent="0.3">
      <c r="A56" s="174"/>
      <c r="B56" s="180"/>
      <c r="C56" s="168"/>
      <c r="D56" s="128" t="s">
        <v>13</v>
      </c>
      <c r="E56" s="131" t="s">
        <v>17</v>
      </c>
      <c r="F56" s="54" t="s">
        <v>107</v>
      </c>
      <c r="G56" s="30">
        <f t="shared" si="1"/>
        <v>9883617.4000000004</v>
      </c>
      <c r="H56" s="30">
        <f>H59</f>
        <v>0</v>
      </c>
      <c r="I56" s="30">
        <f t="shared" ref="I56:M57" si="37">I59</f>
        <v>9883617.4000000004</v>
      </c>
      <c r="J56" s="30">
        <f t="shared" si="37"/>
        <v>0</v>
      </c>
      <c r="K56" s="30">
        <f>K59</f>
        <v>0</v>
      </c>
      <c r="L56" s="30">
        <f t="shared" ref="L56:M56" si="38">L59</f>
        <v>0</v>
      </c>
      <c r="M56" s="64">
        <f t="shared" si="38"/>
        <v>0</v>
      </c>
    </row>
    <row r="57" spans="1:15" ht="71.25" customHeight="1" x14ac:dyDescent="0.3">
      <c r="A57" s="174"/>
      <c r="B57" s="180"/>
      <c r="C57" s="169"/>
      <c r="D57" s="128" t="s">
        <v>146</v>
      </c>
      <c r="E57" s="131" t="s">
        <v>17</v>
      </c>
      <c r="F57" s="54" t="s">
        <v>107</v>
      </c>
      <c r="G57" s="30">
        <f t="shared" si="1"/>
        <v>329070347.19999999</v>
      </c>
      <c r="H57" s="30">
        <f>H60</f>
        <v>42401900</v>
      </c>
      <c r="I57" s="30">
        <f t="shared" si="37"/>
        <v>52840449.129999995</v>
      </c>
      <c r="J57" s="30">
        <f t="shared" si="37"/>
        <v>83285518.75</v>
      </c>
      <c r="K57" s="30">
        <f>K60</f>
        <v>60687648.75</v>
      </c>
      <c r="L57" s="30">
        <f t="shared" si="37"/>
        <v>47191869.57</v>
      </c>
      <c r="M57" s="64">
        <f t="shared" si="37"/>
        <v>42662961</v>
      </c>
      <c r="N57" s="70">
        <f>L57-L65</f>
        <v>47191869.57</v>
      </c>
    </row>
    <row r="58" spans="1:15" ht="30.75" customHeight="1" x14ac:dyDescent="0.3">
      <c r="A58" s="173">
        <v>23</v>
      </c>
      <c r="B58" s="184" t="s">
        <v>152</v>
      </c>
      <c r="C58" s="167" t="s">
        <v>128</v>
      </c>
      <c r="D58" s="128" t="s">
        <v>1</v>
      </c>
      <c r="E58" s="131" t="s">
        <v>17</v>
      </c>
      <c r="F58" s="54" t="s">
        <v>17</v>
      </c>
      <c r="G58" s="30">
        <f t="shared" si="1"/>
        <v>338953964.60000002</v>
      </c>
      <c r="H58" s="30">
        <f>H59+H60</f>
        <v>42401900</v>
      </c>
      <c r="I58" s="30">
        <f t="shared" ref="I58:M58" si="39">I59+I60</f>
        <v>62724066.529999994</v>
      </c>
      <c r="J58" s="30">
        <f t="shared" si="39"/>
        <v>83285518.75</v>
      </c>
      <c r="K58" s="30">
        <f t="shared" si="39"/>
        <v>60687648.75</v>
      </c>
      <c r="L58" s="30">
        <f t="shared" si="39"/>
        <v>47191869.57</v>
      </c>
      <c r="M58" s="64">
        <f t="shared" si="39"/>
        <v>42662961</v>
      </c>
    </row>
    <row r="59" spans="1:15" ht="27.75" customHeight="1" x14ac:dyDescent="0.3">
      <c r="A59" s="174"/>
      <c r="B59" s="185"/>
      <c r="C59" s="168"/>
      <c r="D59" s="128" t="s">
        <v>13</v>
      </c>
      <c r="E59" s="131" t="s">
        <v>17</v>
      </c>
      <c r="F59" s="54" t="s">
        <v>17</v>
      </c>
      <c r="G59" s="30">
        <f t="shared" si="1"/>
        <v>9883617.4000000004</v>
      </c>
      <c r="H59" s="30">
        <f>H62</f>
        <v>0</v>
      </c>
      <c r="I59" s="30">
        <f t="shared" ref="I59:M60" si="40">I62</f>
        <v>9883617.4000000004</v>
      </c>
      <c r="J59" s="30">
        <f t="shared" si="40"/>
        <v>0</v>
      </c>
      <c r="K59" s="30">
        <f>K62</f>
        <v>0</v>
      </c>
      <c r="L59" s="30">
        <f t="shared" si="40"/>
        <v>0</v>
      </c>
      <c r="M59" s="64">
        <f t="shared" si="40"/>
        <v>0</v>
      </c>
    </row>
    <row r="60" spans="1:15" ht="30.6" x14ac:dyDescent="0.3">
      <c r="A60" s="175"/>
      <c r="B60" s="186"/>
      <c r="C60" s="169"/>
      <c r="D60" s="128" t="s">
        <v>146</v>
      </c>
      <c r="E60" s="131" t="s">
        <v>17</v>
      </c>
      <c r="F60" s="54" t="s">
        <v>17</v>
      </c>
      <c r="G60" s="30">
        <f t="shared" si="1"/>
        <v>329070347.19999999</v>
      </c>
      <c r="H60" s="30">
        <f>H63</f>
        <v>42401900</v>
      </c>
      <c r="I60" s="30">
        <f t="shared" si="40"/>
        <v>52840449.129999995</v>
      </c>
      <c r="J60" s="30">
        <f t="shared" si="40"/>
        <v>83285518.75</v>
      </c>
      <c r="K60" s="30">
        <f>K63</f>
        <v>60687648.75</v>
      </c>
      <c r="L60" s="30">
        <f t="shared" si="40"/>
        <v>47191869.57</v>
      </c>
      <c r="M60" s="64">
        <f t="shared" si="40"/>
        <v>42662961</v>
      </c>
    </row>
    <row r="61" spans="1:15" ht="21.75" customHeight="1" x14ac:dyDescent="0.3">
      <c r="A61" s="173">
        <v>24</v>
      </c>
      <c r="B61" s="184" t="s">
        <v>69</v>
      </c>
      <c r="C61" s="167" t="s">
        <v>128</v>
      </c>
      <c r="D61" s="128" t="s">
        <v>1</v>
      </c>
      <c r="E61" s="131" t="s">
        <v>17</v>
      </c>
      <c r="F61" s="54" t="s">
        <v>17</v>
      </c>
      <c r="G61" s="30">
        <f t="shared" si="1"/>
        <v>338953964.60000002</v>
      </c>
      <c r="H61" s="30">
        <f>H62+H63</f>
        <v>42401900</v>
      </c>
      <c r="I61" s="30">
        <f t="shared" ref="I61:M61" si="41">I62+I63</f>
        <v>62724066.529999994</v>
      </c>
      <c r="J61" s="30">
        <f t="shared" si="41"/>
        <v>83285518.75</v>
      </c>
      <c r="K61" s="30">
        <f t="shared" si="41"/>
        <v>60687648.75</v>
      </c>
      <c r="L61" s="30">
        <f t="shared" si="41"/>
        <v>47191869.57</v>
      </c>
      <c r="M61" s="64">
        <f t="shared" si="41"/>
        <v>42662961</v>
      </c>
    </row>
    <row r="62" spans="1:15" ht="18.75" customHeight="1" x14ac:dyDescent="0.3">
      <c r="A62" s="174"/>
      <c r="B62" s="185"/>
      <c r="C62" s="168"/>
      <c r="D62" s="128" t="s">
        <v>13</v>
      </c>
      <c r="E62" s="131" t="s">
        <v>17</v>
      </c>
      <c r="F62" s="54" t="s">
        <v>17</v>
      </c>
      <c r="G62" s="30">
        <f t="shared" si="1"/>
        <v>9883617.4000000004</v>
      </c>
      <c r="H62" s="30">
        <f>H70</f>
        <v>0</v>
      </c>
      <c r="I62" s="30">
        <f>I70+I73</f>
        <v>9883617.4000000004</v>
      </c>
      <c r="J62" s="30">
        <f t="shared" ref="J62" si="42">J70+J73</f>
        <v>0</v>
      </c>
      <c r="K62" s="30">
        <f>K70+K73</f>
        <v>0</v>
      </c>
      <c r="L62" s="30">
        <f t="shared" ref="L62:M62" si="43">L70+L73</f>
        <v>0</v>
      </c>
      <c r="M62" s="64">
        <f t="shared" si="43"/>
        <v>0</v>
      </c>
    </row>
    <row r="63" spans="1:15" ht="68.25" customHeight="1" x14ac:dyDescent="0.3">
      <c r="A63" s="175"/>
      <c r="B63" s="186"/>
      <c r="C63" s="169"/>
      <c r="D63" s="128" t="s">
        <v>146</v>
      </c>
      <c r="E63" s="131" t="s">
        <v>17</v>
      </c>
      <c r="F63" s="54" t="s">
        <v>17</v>
      </c>
      <c r="G63" s="30">
        <f t="shared" si="1"/>
        <v>329070347.19999999</v>
      </c>
      <c r="H63" s="30">
        <f>H65+H66+H67+H68+H71+H75</f>
        <v>42401900</v>
      </c>
      <c r="I63" s="30">
        <f t="shared" ref="I63:J63" si="44">I65+I66+I67+I68+I71+I75</f>
        <v>52840449.129999995</v>
      </c>
      <c r="J63" s="30">
        <f t="shared" si="44"/>
        <v>83285518.75</v>
      </c>
      <c r="K63" s="30">
        <f>K65+K66+K67+K68+K71+K74+K75</f>
        <v>60687648.75</v>
      </c>
      <c r="L63" s="30">
        <f t="shared" ref="L63:M63" si="45">L65+L66+L67+L68+L71+L74+L75</f>
        <v>47191869.57</v>
      </c>
      <c r="M63" s="64">
        <f t="shared" si="45"/>
        <v>42662961</v>
      </c>
    </row>
    <row r="64" spans="1:15" ht="20.25" customHeight="1" x14ac:dyDescent="0.3">
      <c r="A64" s="164">
        <v>25</v>
      </c>
      <c r="B64" s="167" t="s">
        <v>136</v>
      </c>
      <c r="C64" s="176" t="s">
        <v>129</v>
      </c>
      <c r="D64" s="128" t="s">
        <v>1</v>
      </c>
      <c r="E64" s="131" t="s">
        <v>17</v>
      </c>
      <c r="F64" s="54" t="s">
        <v>17</v>
      </c>
      <c r="G64" s="30">
        <f>G65+G66</f>
        <v>170500733.55000001</v>
      </c>
      <c r="H64" s="30">
        <f t="shared" ref="H64:M64" si="46">H65+H66</f>
        <v>21839500</v>
      </c>
      <c r="I64" s="30">
        <f t="shared" si="46"/>
        <v>36839500</v>
      </c>
      <c r="J64" s="30">
        <f t="shared" si="46"/>
        <v>46589500</v>
      </c>
      <c r="K64" s="30">
        <f t="shared" si="46"/>
        <v>30470216.75</v>
      </c>
      <c r="L64" s="30">
        <f t="shared" si="46"/>
        <v>17922516.800000001</v>
      </c>
      <c r="M64" s="64">
        <f t="shared" si="46"/>
        <v>16839500</v>
      </c>
    </row>
    <row r="65" spans="1:14" ht="38.25" customHeight="1" x14ac:dyDescent="0.3">
      <c r="A65" s="165"/>
      <c r="B65" s="168"/>
      <c r="C65" s="177"/>
      <c r="D65" s="176" t="s">
        <v>146</v>
      </c>
      <c r="E65" s="131">
        <v>737</v>
      </c>
      <c r="F65" s="182" t="s">
        <v>108</v>
      </c>
      <c r="G65" s="30">
        <f t="shared" si="1"/>
        <v>7375644.1799999997</v>
      </c>
      <c r="H65" s="30">
        <v>0</v>
      </c>
      <c r="I65" s="30">
        <v>0</v>
      </c>
      <c r="J65" s="30">
        <v>0</v>
      </c>
      <c r="K65" s="30">
        <v>7375644.1799999997</v>
      </c>
      <c r="L65" s="30">
        <f>16575458.6-16575458.6</f>
        <v>0</v>
      </c>
      <c r="M65" s="64">
        <v>0</v>
      </c>
    </row>
    <row r="66" spans="1:14" ht="38.25" customHeight="1" x14ac:dyDescent="0.3">
      <c r="A66" s="166"/>
      <c r="B66" s="169"/>
      <c r="C66" s="178"/>
      <c r="D66" s="178"/>
      <c r="E66" s="131">
        <v>741</v>
      </c>
      <c r="F66" s="183"/>
      <c r="G66" s="30">
        <f t="shared" si="1"/>
        <v>163125089.37</v>
      </c>
      <c r="H66" s="30">
        <v>21839500</v>
      </c>
      <c r="I66" s="30">
        <f>16839500+13000000+7000000</f>
        <v>36839500</v>
      </c>
      <c r="J66" s="30">
        <f>16839500+20000000+3000000+4750000+2000000</f>
        <v>46589500</v>
      </c>
      <c r="K66" s="31">
        <f>61018951.86-44179451.86+6255072.57</f>
        <v>23094572.57</v>
      </c>
      <c r="L66" s="31">
        <v>17922516.800000001</v>
      </c>
      <c r="M66" s="117">
        <f>96836596.9-79997096.9</f>
        <v>16839500</v>
      </c>
    </row>
    <row r="67" spans="1:14" ht="51" x14ac:dyDescent="0.3">
      <c r="A67" s="122">
        <v>26</v>
      </c>
      <c r="B67" s="124" t="s">
        <v>151</v>
      </c>
      <c r="C67" s="124" t="s">
        <v>62</v>
      </c>
      <c r="D67" s="128" t="s">
        <v>41</v>
      </c>
      <c r="E67" s="131">
        <v>741</v>
      </c>
      <c r="F67" s="54" t="s">
        <v>17</v>
      </c>
      <c r="G67" s="30">
        <f t="shared" si="1"/>
        <v>15200000</v>
      </c>
      <c r="H67" s="30">
        <v>15200000</v>
      </c>
      <c r="I67" s="30">
        <v>0</v>
      </c>
      <c r="J67" s="30">
        <v>0</v>
      </c>
      <c r="K67" s="31">
        <v>0</v>
      </c>
      <c r="L67" s="31">
        <v>0</v>
      </c>
      <c r="M67" s="108">
        <v>0</v>
      </c>
    </row>
    <row r="68" spans="1:14" ht="51" x14ac:dyDescent="0.3">
      <c r="A68" s="122">
        <v>27</v>
      </c>
      <c r="B68" s="124" t="s">
        <v>56</v>
      </c>
      <c r="C68" s="124" t="s">
        <v>62</v>
      </c>
      <c r="D68" s="128" t="s">
        <v>41</v>
      </c>
      <c r="E68" s="131">
        <v>741</v>
      </c>
      <c r="F68" s="54" t="s">
        <v>17</v>
      </c>
      <c r="G68" s="30">
        <f t="shared" si="1"/>
        <v>5362400</v>
      </c>
      <c r="H68" s="30">
        <v>5362400</v>
      </c>
      <c r="I68" s="30">
        <v>0</v>
      </c>
      <c r="J68" s="30">
        <v>0</v>
      </c>
      <c r="K68" s="31">
        <v>0</v>
      </c>
      <c r="L68" s="31">
        <v>0</v>
      </c>
      <c r="M68" s="108">
        <v>0</v>
      </c>
    </row>
    <row r="69" spans="1:14" ht="12.75" customHeight="1" x14ac:dyDescent="0.3">
      <c r="A69" s="164">
        <v>28</v>
      </c>
      <c r="B69" s="167" t="s">
        <v>68</v>
      </c>
      <c r="C69" s="167" t="s">
        <v>62</v>
      </c>
      <c r="D69" s="128" t="s">
        <v>1</v>
      </c>
      <c r="E69" s="131">
        <v>741</v>
      </c>
      <c r="F69" s="54" t="s">
        <v>17</v>
      </c>
      <c r="G69" s="30">
        <f t="shared" si="1"/>
        <v>84500626.899999991</v>
      </c>
      <c r="H69" s="30">
        <f>H70+H71</f>
        <v>0</v>
      </c>
      <c r="I69" s="30">
        <f t="shared" ref="I69:M69" si="47">I70+I71</f>
        <v>16000949.129999999</v>
      </c>
      <c r="J69" s="30">
        <f t="shared" si="47"/>
        <v>20682432</v>
      </c>
      <c r="K69" s="30">
        <f t="shared" si="47"/>
        <v>15682432</v>
      </c>
      <c r="L69" s="30">
        <f t="shared" si="47"/>
        <v>16766352.77</v>
      </c>
      <c r="M69" s="64">
        <f t="shared" si="47"/>
        <v>15368461</v>
      </c>
    </row>
    <row r="70" spans="1:14" x14ac:dyDescent="0.3">
      <c r="A70" s="165"/>
      <c r="B70" s="168"/>
      <c r="C70" s="168"/>
      <c r="D70" s="128" t="s">
        <v>13</v>
      </c>
      <c r="E70" s="131">
        <v>741</v>
      </c>
      <c r="F70" s="54" t="s">
        <v>17</v>
      </c>
      <c r="G70" s="30">
        <f t="shared" si="1"/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64">
        <v>0</v>
      </c>
    </row>
    <row r="71" spans="1:14" ht="54.75" customHeight="1" x14ac:dyDescent="0.3">
      <c r="A71" s="166"/>
      <c r="B71" s="169"/>
      <c r="C71" s="169"/>
      <c r="D71" s="128" t="s">
        <v>41</v>
      </c>
      <c r="E71" s="131">
        <v>741</v>
      </c>
      <c r="F71" s="54" t="s">
        <v>109</v>
      </c>
      <c r="G71" s="30">
        <f t="shared" si="1"/>
        <v>84500626.899999991</v>
      </c>
      <c r="H71" s="30">
        <v>0</v>
      </c>
      <c r="I71" s="30">
        <f>15682432+3085930-2767412.87</f>
        <v>16000949.129999999</v>
      </c>
      <c r="J71" s="30">
        <f>15682432+5000000</f>
        <v>20682432</v>
      </c>
      <c r="K71" s="30">
        <f>28385237.79-12702805.79</f>
        <v>15682432</v>
      </c>
      <c r="L71" s="30">
        <v>16766352.77</v>
      </c>
      <c r="M71" s="66">
        <f>32600822.85-16918390.85-313971</f>
        <v>15368461</v>
      </c>
    </row>
    <row r="72" spans="1:14" x14ac:dyDescent="0.3">
      <c r="A72" s="164">
        <v>29</v>
      </c>
      <c r="B72" s="167" t="s">
        <v>81</v>
      </c>
      <c r="C72" s="167" t="s">
        <v>62</v>
      </c>
      <c r="D72" s="128" t="s">
        <v>1</v>
      </c>
      <c r="E72" s="131">
        <v>741</v>
      </c>
      <c r="F72" s="54" t="s">
        <v>17</v>
      </c>
      <c r="G72" s="30">
        <f t="shared" si="1"/>
        <v>9883617.4000000004</v>
      </c>
      <c r="H72" s="30">
        <f>H73+H74</f>
        <v>0</v>
      </c>
      <c r="I72" s="30">
        <f t="shared" ref="I72:M72" si="48">I73+I74</f>
        <v>9883617.4000000004</v>
      </c>
      <c r="J72" s="30">
        <f t="shared" si="48"/>
        <v>0</v>
      </c>
      <c r="K72" s="30">
        <f t="shared" si="48"/>
        <v>0</v>
      </c>
      <c r="L72" s="30">
        <f t="shared" si="48"/>
        <v>0</v>
      </c>
      <c r="M72" s="64">
        <f t="shared" si="48"/>
        <v>0</v>
      </c>
    </row>
    <row r="73" spans="1:14" ht="96" customHeight="1" x14ac:dyDescent="0.3">
      <c r="A73" s="165"/>
      <c r="B73" s="168"/>
      <c r="C73" s="168"/>
      <c r="D73" s="128" t="s">
        <v>13</v>
      </c>
      <c r="E73" s="131">
        <v>741</v>
      </c>
      <c r="F73" s="54" t="s">
        <v>17</v>
      </c>
      <c r="G73" s="30">
        <f t="shared" si="1"/>
        <v>9883617.4000000004</v>
      </c>
      <c r="H73" s="30">
        <v>0</v>
      </c>
      <c r="I73" s="30">
        <f>2767412.2+7116205.2</f>
        <v>9883617.4000000004</v>
      </c>
      <c r="J73" s="30">
        <v>0</v>
      </c>
      <c r="K73" s="30">
        <v>0</v>
      </c>
      <c r="L73" s="30">
        <v>0</v>
      </c>
      <c r="M73" s="64">
        <v>0</v>
      </c>
    </row>
    <row r="74" spans="1:14" ht="30.6" x14ac:dyDescent="0.3">
      <c r="A74" s="166"/>
      <c r="B74" s="169"/>
      <c r="C74" s="169"/>
      <c r="D74" s="128" t="s">
        <v>41</v>
      </c>
      <c r="E74" s="131" t="s">
        <v>17</v>
      </c>
      <c r="F74" s="54" t="s">
        <v>17</v>
      </c>
      <c r="G74" s="30">
        <f t="shared" si="1"/>
        <v>0</v>
      </c>
      <c r="H74" s="30">
        <v>0</v>
      </c>
      <c r="I74" s="30"/>
      <c r="J74" s="30"/>
      <c r="K74" s="30"/>
      <c r="L74" s="30"/>
      <c r="M74" s="64"/>
    </row>
    <row r="75" spans="1:14" ht="40.799999999999997" x14ac:dyDescent="0.3">
      <c r="A75" s="122">
        <v>30</v>
      </c>
      <c r="B75" s="124" t="s">
        <v>93</v>
      </c>
      <c r="C75" s="124" t="s">
        <v>62</v>
      </c>
      <c r="D75" s="128" t="s">
        <v>41</v>
      </c>
      <c r="E75" s="131">
        <v>741</v>
      </c>
      <c r="F75" s="54" t="s">
        <v>110</v>
      </c>
      <c r="G75" s="30">
        <f t="shared" si="1"/>
        <v>53506586.75</v>
      </c>
      <c r="H75" s="30">
        <v>0</v>
      </c>
      <c r="I75" s="30">
        <v>0</v>
      </c>
      <c r="J75" s="30">
        <f>15548000-200000+665586.75</f>
        <v>16013586.75</v>
      </c>
      <c r="K75" s="30">
        <f>15548000-1013000</f>
        <v>14535000</v>
      </c>
      <c r="L75" s="30">
        <f>15248000-2745000</f>
        <v>12503000</v>
      </c>
      <c r="M75" s="66">
        <v>10455000</v>
      </c>
      <c r="N75" s="70"/>
    </row>
    <row r="76" spans="1:14" s="34" customFormat="1" ht="51" x14ac:dyDescent="0.3">
      <c r="A76" s="122">
        <v>31</v>
      </c>
      <c r="B76" s="36" t="s">
        <v>16</v>
      </c>
      <c r="C76" s="20" t="s">
        <v>65</v>
      </c>
      <c r="D76" s="37" t="s">
        <v>41</v>
      </c>
      <c r="E76" s="131">
        <v>737</v>
      </c>
      <c r="F76" s="55" t="s">
        <v>17</v>
      </c>
      <c r="G76" s="30">
        <f t="shared" si="1"/>
        <v>180182951.73000002</v>
      </c>
      <c r="H76" s="41">
        <f>H77</f>
        <v>83250981</v>
      </c>
      <c r="I76" s="30">
        <f t="shared" ref="H76:M77" si="49">I77</f>
        <v>96931970.730000004</v>
      </c>
      <c r="J76" s="41">
        <f t="shared" si="49"/>
        <v>0</v>
      </c>
      <c r="K76" s="41">
        <f t="shared" si="49"/>
        <v>0</v>
      </c>
      <c r="L76" s="41">
        <f t="shared" si="49"/>
        <v>0</v>
      </c>
      <c r="M76" s="64">
        <f t="shared" si="49"/>
        <v>0</v>
      </c>
    </row>
    <row r="77" spans="1:14" s="35" customFormat="1" ht="51" x14ac:dyDescent="0.3">
      <c r="A77" s="122">
        <v>32</v>
      </c>
      <c r="B77" s="40" t="s">
        <v>82</v>
      </c>
      <c r="C77" s="20" t="s">
        <v>65</v>
      </c>
      <c r="D77" s="37" t="s">
        <v>41</v>
      </c>
      <c r="E77" s="38">
        <v>737</v>
      </c>
      <c r="F77" s="55" t="s">
        <v>17</v>
      </c>
      <c r="G77" s="30">
        <f t="shared" si="1"/>
        <v>180182951.73000002</v>
      </c>
      <c r="H77" s="41">
        <f t="shared" si="49"/>
        <v>83250981</v>
      </c>
      <c r="I77" s="41">
        <f t="shared" si="49"/>
        <v>96931970.730000004</v>
      </c>
      <c r="J77" s="41">
        <f t="shared" si="49"/>
        <v>0</v>
      </c>
      <c r="K77" s="41">
        <f t="shared" si="49"/>
        <v>0</v>
      </c>
      <c r="L77" s="41">
        <f t="shared" si="49"/>
        <v>0</v>
      </c>
      <c r="M77" s="64">
        <f t="shared" si="49"/>
        <v>0</v>
      </c>
    </row>
    <row r="78" spans="1:14" s="35" customFormat="1" ht="51" x14ac:dyDescent="0.3">
      <c r="A78" s="122">
        <v>33</v>
      </c>
      <c r="B78" s="40" t="s">
        <v>83</v>
      </c>
      <c r="C78" s="20" t="s">
        <v>65</v>
      </c>
      <c r="D78" s="37" t="s">
        <v>146</v>
      </c>
      <c r="E78" s="38">
        <v>737</v>
      </c>
      <c r="F78" s="55" t="s">
        <v>17</v>
      </c>
      <c r="G78" s="30">
        <f t="shared" ref="G78:G164" si="50">H78+I78+J78+K78+L78+M78</f>
        <v>180182951.73000002</v>
      </c>
      <c r="H78" s="41">
        <f t="shared" ref="H78:M78" si="51">SUM(H79:H83)</f>
        <v>83250981</v>
      </c>
      <c r="I78" s="41">
        <f t="shared" si="51"/>
        <v>96931970.730000004</v>
      </c>
      <c r="J78" s="41">
        <f t="shared" si="51"/>
        <v>0</v>
      </c>
      <c r="K78" s="41">
        <f t="shared" si="51"/>
        <v>0</v>
      </c>
      <c r="L78" s="41">
        <f t="shared" si="51"/>
        <v>0</v>
      </c>
      <c r="M78" s="64">
        <f t="shared" si="51"/>
        <v>0</v>
      </c>
    </row>
    <row r="79" spans="1:14" s="35" customFormat="1" ht="51" x14ac:dyDescent="0.3">
      <c r="A79" s="122">
        <v>34</v>
      </c>
      <c r="B79" s="40" t="s">
        <v>84</v>
      </c>
      <c r="C79" s="20" t="s">
        <v>65</v>
      </c>
      <c r="D79" s="37" t="s">
        <v>146</v>
      </c>
      <c r="E79" s="38">
        <v>737</v>
      </c>
      <c r="F79" s="55" t="s">
        <v>17</v>
      </c>
      <c r="G79" s="30">
        <f t="shared" si="50"/>
        <v>70404569.390000001</v>
      </c>
      <c r="H79" s="41">
        <v>5000000</v>
      </c>
      <c r="I79" s="41">
        <v>65404569.390000001</v>
      </c>
      <c r="J79" s="41">
        <v>0</v>
      </c>
      <c r="K79" s="41">
        <v>0</v>
      </c>
      <c r="L79" s="41">
        <v>0</v>
      </c>
      <c r="M79" s="64">
        <v>0</v>
      </c>
    </row>
    <row r="80" spans="1:14" s="88" customFormat="1" ht="51" hidden="1" x14ac:dyDescent="0.3">
      <c r="A80" s="32"/>
      <c r="B80" s="83" t="s">
        <v>125</v>
      </c>
      <c r="C80" s="84" t="s">
        <v>65</v>
      </c>
      <c r="D80" s="84" t="s">
        <v>41</v>
      </c>
      <c r="E80" s="85" t="s">
        <v>17</v>
      </c>
      <c r="F80" s="86" t="s">
        <v>17</v>
      </c>
      <c r="G80" s="87">
        <f t="shared" si="50"/>
        <v>0</v>
      </c>
      <c r="H80" s="87">
        <v>0</v>
      </c>
      <c r="I80" s="87">
        <v>0</v>
      </c>
      <c r="J80" s="87">
        <v>0</v>
      </c>
      <c r="K80" s="87">
        <f>1000000-1000000</f>
        <v>0</v>
      </c>
      <c r="L80" s="87"/>
      <c r="M80" s="64"/>
    </row>
    <row r="81" spans="1:13" s="35" customFormat="1" ht="51" x14ac:dyDescent="0.3">
      <c r="A81" s="122">
        <v>35</v>
      </c>
      <c r="B81" s="40" t="s">
        <v>86</v>
      </c>
      <c r="C81" s="20" t="s">
        <v>65</v>
      </c>
      <c r="D81" s="37" t="s">
        <v>146</v>
      </c>
      <c r="E81" s="38">
        <v>737</v>
      </c>
      <c r="F81" s="55" t="s">
        <v>17</v>
      </c>
      <c r="G81" s="30">
        <f t="shared" si="50"/>
        <v>7769217.5</v>
      </c>
      <c r="H81" s="41">
        <v>5000000</v>
      </c>
      <c r="I81" s="41">
        <f>4000000-1230782.5</f>
        <v>2769217.5</v>
      </c>
      <c r="J81" s="41">
        <v>0</v>
      </c>
      <c r="K81" s="41">
        <v>0</v>
      </c>
      <c r="L81" s="41">
        <v>0</v>
      </c>
      <c r="M81" s="64">
        <v>0</v>
      </c>
    </row>
    <row r="82" spans="1:13" s="88" customFormat="1" ht="67.5" hidden="1" customHeight="1" x14ac:dyDescent="0.3">
      <c r="A82" s="32"/>
      <c r="B82" s="89" t="s">
        <v>126</v>
      </c>
      <c r="C82" s="89" t="s">
        <v>65</v>
      </c>
      <c r="D82" s="84" t="s">
        <v>41</v>
      </c>
      <c r="E82" s="85" t="s">
        <v>17</v>
      </c>
      <c r="F82" s="86" t="s">
        <v>17</v>
      </c>
      <c r="G82" s="87">
        <f t="shared" si="50"/>
        <v>0</v>
      </c>
      <c r="H82" s="87">
        <v>0</v>
      </c>
      <c r="I82" s="87">
        <f>10800000-4900000-5900000</f>
        <v>0</v>
      </c>
      <c r="J82" s="87"/>
      <c r="K82" s="87"/>
      <c r="L82" s="87"/>
      <c r="M82" s="64"/>
    </row>
    <row r="83" spans="1:13" s="35" customFormat="1" ht="143.25" customHeight="1" x14ac:dyDescent="0.3">
      <c r="A83" s="122">
        <v>36</v>
      </c>
      <c r="B83" s="49" t="s">
        <v>90</v>
      </c>
      <c r="C83" s="20" t="s">
        <v>65</v>
      </c>
      <c r="D83" s="37" t="s">
        <v>146</v>
      </c>
      <c r="E83" s="38">
        <v>737</v>
      </c>
      <c r="F83" s="55" t="s">
        <v>17</v>
      </c>
      <c r="G83" s="30">
        <f t="shared" si="50"/>
        <v>102009164.84</v>
      </c>
      <c r="H83" s="41">
        <v>73250981</v>
      </c>
      <c r="I83" s="41">
        <f>34250981+4900000+1230782.5-6130782.5-5492797.16</f>
        <v>28758183.84</v>
      </c>
      <c r="J83" s="41">
        <v>0</v>
      </c>
      <c r="K83" s="41">
        <v>0</v>
      </c>
      <c r="L83" s="41">
        <v>0</v>
      </c>
      <c r="M83" s="64">
        <v>0</v>
      </c>
    </row>
    <row r="84" spans="1:13" ht="17.25" customHeight="1" x14ac:dyDescent="0.3">
      <c r="A84" s="173">
        <v>37</v>
      </c>
      <c r="B84" s="179" t="s">
        <v>8</v>
      </c>
      <c r="C84" s="176" t="s">
        <v>62</v>
      </c>
      <c r="D84" s="128" t="s">
        <v>1</v>
      </c>
      <c r="E84" s="131">
        <v>741</v>
      </c>
      <c r="F84" s="54" t="s">
        <v>166</v>
      </c>
      <c r="G84" s="30">
        <f t="shared" si="50"/>
        <v>413879264.92999995</v>
      </c>
      <c r="H84" s="30">
        <f t="shared" ref="H84:K84" si="52">H85+H86</f>
        <v>1765980</v>
      </c>
      <c r="I84" s="30">
        <f t="shared" si="52"/>
        <v>1934430</v>
      </c>
      <c r="J84" s="30">
        <f t="shared" si="52"/>
        <v>2114330</v>
      </c>
      <c r="K84" s="30">
        <f t="shared" si="52"/>
        <v>0</v>
      </c>
      <c r="L84" s="30">
        <f>L85+L86</f>
        <v>101229681.64</v>
      </c>
      <c r="M84" s="64">
        <f>M85+M86</f>
        <v>306834843.28999996</v>
      </c>
    </row>
    <row r="85" spans="1:13" x14ac:dyDescent="0.3">
      <c r="A85" s="174"/>
      <c r="B85" s="180"/>
      <c r="C85" s="177"/>
      <c r="D85" s="128" t="s">
        <v>13</v>
      </c>
      <c r="E85" s="131">
        <v>741</v>
      </c>
      <c r="F85" s="54" t="s">
        <v>166</v>
      </c>
      <c r="G85" s="30">
        <f t="shared" si="50"/>
        <v>325352056.23999995</v>
      </c>
      <c r="H85" s="30">
        <f>H95</f>
        <v>0</v>
      </c>
      <c r="I85" s="30">
        <f t="shared" ref="I85:M86" si="53">I95</f>
        <v>0</v>
      </c>
      <c r="J85" s="30">
        <f t="shared" si="53"/>
        <v>0</v>
      </c>
      <c r="K85" s="30">
        <f t="shared" si="53"/>
        <v>0</v>
      </c>
      <c r="L85" s="30">
        <f t="shared" si="53"/>
        <v>56651619.210000001</v>
      </c>
      <c r="M85" s="64">
        <f t="shared" si="53"/>
        <v>268700437.02999997</v>
      </c>
    </row>
    <row r="86" spans="1:13" ht="30.6" x14ac:dyDescent="0.3">
      <c r="A86" s="175"/>
      <c r="B86" s="181"/>
      <c r="C86" s="178"/>
      <c r="D86" s="128" t="s">
        <v>146</v>
      </c>
      <c r="E86" s="131">
        <v>741</v>
      </c>
      <c r="F86" s="54" t="s">
        <v>166</v>
      </c>
      <c r="G86" s="30">
        <f t="shared" si="50"/>
        <v>88527208.689999998</v>
      </c>
      <c r="H86" s="30">
        <f>H96</f>
        <v>1765980</v>
      </c>
      <c r="I86" s="30">
        <f t="shared" si="53"/>
        <v>1934430</v>
      </c>
      <c r="J86" s="30">
        <f t="shared" si="53"/>
        <v>2114330</v>
      </c>
      <c r="K86" s="30">
        <f t="shared" si="53"/>
        <v>0</v>
      </c>
      <c r="L86" s="30">
        <f t="shared" si="53"/>
        <v>44578062.43</v>
      </c>
      <c r="M86" s="64">
        <f t="shared" si="53"/>
        <v>38134406.259999998</v>
      </c>
    </row>
    <row r="87" spans="1:13" ht="30.6" x14ac:dyDescent="0.3">
      <c r="A87" s="127">
        <v>38</v>
      </c>
      <c r="B87" s="124" t="s">
        <v>20</v>
      </c>
      <c r="C87" s="124" t="s">
        <v>62</v>
      </c>
      <c r="D87" s="128" t="s">
        <v>43</v>
      </c>
      <c r="E87" s="131">
        <v>741</v>
      </c>
      <c r="F87" s="54" t="s">
        <v>17</v>
      </c>
      <c r="G87" s="30">
        <f t="shared" si="50"/>
        <v>0</v>
      </c>
      <c r="H87" s="30">
        <f>H88+H90+H92</f>
        <v>0</v>
      </c>
      <c r="I87" s="30">
        <f t="shared" ref="I87:M87" si="54">I88+I90+I92</f>
        <v>0</v>
      </c>
      <c r="J87" s="30">
        <f t="shared" si="54"/>
        <v>0</v>
      </c>
      <c r="K87" s="30">
        <f t="shared" si="54"/>
        <v>0</v>
      </c>
      <c r="L87" s="30">
        <f>L88+L90+L92</f>
        <v>0</v>
      </c>
      <c r="M87" s="64">
        <f t="shared" si="54"/>
        <v>0</v>
      </c>
    </row>
    <row r="88" spans="1:13" ht="61.5" customHeight="1" x14ac:dyDescent="0.3">
      <c r="A88" s="122">
        <v>39</v>
      </c>
      <c r="B88" s="19" t="s">
        <v>137</v>
      </c>
      <c r="C88" s="124" t="s">
        <v>62</v>
      </c>
      <c r="D88" s="128" t="s">
        <v>43</v>
      </c>
      <c r="E88" s="131">
        <v>741</v>
      </c>
      <c r="F88" s="54" t="s">
        <v>17</v>
      </c>
      <c r="G88" s="30">
        <f t="shared" si="50"/>
        <v>0</v>
      </c>
      <c r="H88" s="30">
        <f>H89</f>
        <v>0</v>
      </c>
      <c r="I88" s="30">
        <f>I89</f>
        <v>0</v>
      </c>
      <c r="J88" s="30">
        <f>J89</f>
        <v>0</v>
      </c>
      <c r="K88" s="31">
        <f>K89</f>
        <v>0</v>
      </c>
      <c r="L88" s="31">
        <f t="shared" ref="L88:M88" si="55">L89</f>
        <v>0</v>
      </c>
      <c r="M88" s="108">
        <f t="shared" si="55"/>
        <v>0</v>
      </c>
    </row>
    <row r="89" spans="1:13" ht="52.5" customHeight="1" x14ac:dyDescent="0.3">
      <c r="A89" s="127">
        <v>40</v>
      </c>
      <c r="B89" s="19" t="s">
        <v>138</v>
      </c>
      <c r="C89" s="124" t="s">
        <v>62</v>
      </c>
      <c r="D89" s="128" t="s">
        <v>43</v>
      </c>
      <c r="E89" s="131">
        <v>741</v>
      </c>
      <c r="F89" s="54" t="s">
        <v>17</v>
      </c>
      <c r="G89" s="30">
        <f t="shared" si="50"/>
        <v>0</v>
      </c>
      <c r="H89" s="30">
        <v>0</v>
      </c>
      <c r="I89" s="30">
        <v>0</v>
      </c>
      <c r="J89" s="30">
        <v>0</v>
      </c>
      <c r="K89" s="31">
        <v>0</v>
      </c>
      <c r="L89" s="31">
        <v>0</v>
      </c>
      <c r="M89" s="108">
        <v>0</v>
      </c>
    </row>
    <row r="90" spans="1:13" ht="62.25" customHeight="1" x14ac:dyDescent="0.3">
      <c r="A90" s="127">
        <v>41</v>
      </c>
      <c r="B90" s="124" t="s">
        <v>23</v>
      </c>
      <c r="C90" s="124" t="s">
        <v>62</v>
      </c>
      <c r="D90" s="128" t="s">
        <v>43</v>
      </c>
      <c r="E90" s="131">
        <v>741</v>
      </c>
      <c r="F90" s="54" t="s">
        <v>17</v>
      </c>
      <c r="G90" s="30">
        <f t="shared" si="50"/>
        <v>0</v>
      </c>
      <c r="H90" s="30">
        <f>H91</f>
        <v>0</v>
      </c>
      <c r="I90" s="30">
        <f>I91</f>
        <v>0</v>
      </c>
      <c r="J90" s="30">
        <f>J91</f>
        <v>0</v>
      </c>
      <c r="K90" s="31">
        <f>K91</f>
        <v>0</v>
      </c>
      <c r="L90" s="31">
        <f t="shared" ref="L90:M90" si="56">L91</f>
        <v>0</v>
      </c>
      <c r="M90" s="108">
        <f t="shared" si="56"/>
        <v>0</v>
      </c>
    </row>
    <row r="91" spans="1:13" ht="61.2" x14ac:dyDescent="0.3">
      <c r="A91" s="127">
        <v>42</v>
      </c>
      <c r="B91" s="124" t="s">
        <v>139</v>
      </c>
      <c r="C91" s="124" t="s">
        <v>62</v>
      </c>
      <c r="D91" s="128" t="s">
        <v>43</v>
      </c>
      <c r="E91" s="131">
        <v>741</v>
      </c>
      <c r="F91" s="54" t="s">
        <v>17</v>
      </c>
      <c r="G91" s="30">
        <f t="shared" si="50"/>
        <v>0</v>
      </c>
      <c r="H91" s="30">
        <v>0</v>
      </c>
      <c r="I91" s="30">
        <v>0</v>
      </c>
      <c r="J91" s="30">
        <v>0</v>
      </c>
      <c r="K91" s="31">
        <v>0</v>
      </c>
      <c r="L91" s="31">
        <v>0</v>
      </c>
      <c r="M91" s="108">
        <v>0</v>
      </c>
    </row>
    <row r="92" spans="1:13" ht="30.6" x14ac:dyDescent="0.3">
      <c r="A92" s="127">
        <v>43</v>
      </c>
      <c r="B92" s="124" t="s">
        <v>25</v>
      </c>
      <c r="C92" s="124" t="s">
        <v>62</v>
      </c>
      <c r="D92" s="128" t="s">
        <v>43</v>
      </c>
      <c r="E92" s="131">
        <v>741</v>
      </c>
      <c r="F92" s="54" t="s">
        <v>17</v>
      </c>
      <c r="G92" s="30">
        <f t="shared" si="50"/>
        <v>0</v>
      </c>
      <c r="H92" s="30">
        <f>H93</f>
        <v>0</v>
      </c>
      <c r="I92" s="30">
        <f>I93</f>
        <v>0</v>
      </c>
      <c r="J92" s="30">
        <f>J93</f>
        <v>0</v>
      </c>
      <c r="K92" s="31">
        <f>K93</f>
        <v>0</v>
      </c>
      <c r="L92" s="31">
        <f t="shared" ref="L92:M92" si="57">L93</f>
        <v>0</v>
      </c>
      <c r="M92" s="108">
        <f t="shared" si="57"/>
        <v>0</v>
      </c>
    </row>
    <row r="93" spans="1:13" ht="72" customHeight="1" x14ac:dyDescent="0.3">
      <c r="A93" s="127">
        <v>44</v>
      </c>
      <c r="B93" s="124" t="s">
        <v>26</v>
      </c>
      <c r="C93" s="124" t="s">
        <v>62</v>
      </c>
      <c r="D93" s="128" t="s">
        <v>43</v>
      </c>
      <c r="E93" s="131">
        <v>741</v>
      </c>
      <c r="F93" s="54" t="s">
        <v>17</v>
      </c>
      <c r="G93" s="30">
        <f t="shared" si="50"/>
        <v>0</v>
      </c>
      <c r="H93" s="30">
        <v>0</v>
      </c>
      <c r="I93" s="30">
        <v>0</v>
      </c>
      <c r="J93" s="30">
        <v>0</v>
      </c>
      <c r="K93" s="31">
        <v>0</v>
      </c>
      <c r="L93" s="31">
        <v>0</v>
      </c>
      <c r="M93" s="108">
        <v>0</v>
      </c>
    </row>
    <row r="94" spans="1:13" ht="36" customHeight="1" x14ac:dyDescent="0.3">
      <c r="A94" s="173">
        <v>45</v>
      </c>
      <c r="B94" s="167" t="s">
        <v>64</v>
      </c>
      <c r="C94" s="167" t="s">
        <v>62</v>
      </c>
      <c r="D94" s="128" t="s">
        <v>1</v>
      </c>
      <c r="E94" s="131">
        <v>741</v>
      </c>
      <c r="F94" s="54" t="s">
        <v>17</v>
      </c>
      <c r="G94" s="30">
        <f t="shared" si="50"/>
        <v>413879264.92999995</v>
      </c>
      <c r="H94" s="30">
        <f t="shared" ref="H94:L94" si="58">H95+H96</f>
        <v>1765980</v>
      </c>
      <c r="I94" s="30">
        <f t="shared" si="58"/>
        <v>1934430</v>
      </c>
      <c r="J94" s="30">
        <f t="shared" si="58"/>
        <v>2114330</v>
      </c>
      <c r="K94" s="30">
        <f t="shared" si="58"/>
        <v>0</v>
      </c>
      <c r="L94" s="30">
        <f t="shared" si="58"/>
        <v>101229681.64</v>
      </c>
      <c r="M94" s="64">
        <f>M95+M96</f>
        <v>306834843.28999996</v>
      </c>
    </row>
    <row r="95" spans="1:13" ht="18.75" customHeight="1" x14ac:dyDescent="0.3">
      <c r="A95" s="174"/>
      <c r="B95" s="168"/>
      <c r="C95" s="168"/>
      <c r="D95" s="128" t="s">
        <v>13</v>
      </c>
      <c r="E95" s="131">
        <v>741</v>
      </c>
      <c r="F95" s="54" t="s">
        <v>17</v>
      </c>
      <c r="G95" s="30">
        <f t="shared" si="50"/>
        <v>325352056.23999995</v>
      </c>
      <c r="H95" s="30">
        <f t="shared" ref="H95:K95" si="59">H100</f>
        <v>0</v>
      </c>
      <c r="I95" s="30">
        <f t="shared" si="59"/>
        <v>0</v>
      </c>
      <c r="J95" s="30">
        <f t="shared" si="59"/>
        <v>0</v>
      </c>
      <c r="K95" s="30">
        <f t="shared" si="59"/>
        <v>0</v>
      </c>
      <c r="L95" s="30">
        <f>L100</f>
        <v>56651619.210000001</v>
      </c>
      <c r="M95" s="64">
        <f>M100</f>
        <v>268700437.02999997</v>
      </c>
    </row>
    <row r="96" spans="1:13" ht="40.5" customHeight="1" x14ac:dyDescent="0.3">
      <c r="A96" s="175"/>
      <c r="B96" s="169"/>
      <c r="C96" s="169"/>
      <c r="D96" s="128" t="s">
        <v>146</v>
      </c>
      <c r="E96" s="131">
        <v>741</v>
      </c>
      <c r="F96" s="54" t="s">
        <v>17</v>
      </c>
      <c r="G96" s="30">
        <f t="shared" si="50"/>
        <v>88527208.689999998</v>
      </c>
      <c r="H96" s="30">
        <f>H97+H101</f>
        <v>1765980</v>
      </c>
      <c r="I96" s="30">
        <f t="shared" ref="I96:L96" si="60">I97+I101</f>
        <v>1934430</v>
      </c>
      <c r="J96" s="30">
        <f t="shared" si="60"/>
        <v>2114330</v>
      </c>
      <c r="K96" s="30">
        <f t="shared" si="60"/>
        <v>0</v>
      </c>
      <c r="L96" s="30">
        <f t="shared" si="60"/>
        <v>44578062.43</v>
      </c>
      <c r="M96" s="64">
        <f>M97+M101</f>
        <v>38134406.259999998</v>
      </c>
    </row>
    <row r="97" spans="1:19" ht="59.25" customHeight="1" x14ac:dyDescent="0.3">
      <c r="A97" s="127">
        <v>46</v>
      </c>
      <c r="B97" s="124" t="s">
        <v>57</v>
      </c>
      <c r="C97" s="124" t="s">
        <v>62</v>
      </c>
      <c r="D97" s="128" t="s">
        <v>146</v>
      </c>
      <c r="E97" s="131">
        <v>741</v>
      </c>
      <c r="F97" s="54" t="s">
        <v>17</v>
      </c>
      <c r="G97" s="30">
        <f t="shared" si="50"/>
        <v>7314740</v>
      </c>
      <c r="H97" s="30">
        <f t="shared" ref="H97:M97" si="61">H98</f>
        <v>1765980</v>
      </c>
      <c r="I97" s="30">
        <f t="shared" si="61"/>
        <v>1934430</v>
      </c>
      <c r="J97" s="30">
        <f t="shared" si="61"/>
        <v>2114330</v>
      </c>
      <c r="K97" s="30">
        <f t="shared" si="61"/>
        <v>0</v>
      </c>
      <c r="L97" s="30">
        <f t="shared" si="61"/>
        <v>0</v>
      </c>
      <c r="M97" s="64">
        <f t="shared" si="61"/>
        <v>1500000</v>
      </c>
    </row>
    <row r="98" spans="1:19" ht="63.75" customHeight="1" x14ac:dyDescent="0.3">
      <c r="A98" s="127">
        <v>47</v>
      </c>
      <c r="B98" s="124" t="s">
        <v>160</v>
      </c>
      <c r="C98" s="124" t="s">
        <v>62</v>
      </c>
      <c r="D98" s="128" t="s">
        <v>146</v>
      </c>
      <c r="E98" s="131">
        <v>741</v>
      </c>
      <c r="F98" s="54" t="s">
        <v>111</v>
      </c>
      <c r="G98" s="30">
        <f t="shared" si="50"/>
        <v>7314740</v>
      </c>
      <c r="H98" s="30">
        <v>1765980</v>
      </c>
      <c r="I98" s="30">
        <v>1934430</v>
      </c>
      <c r="J98" s="30">
        <v>2114330</v>
      </c>
      <c r="K98" s="31">
        <v>0</v>
      </c>
      <c r="L98" s="31">
        <v>0</v>
      </c>
      <c r="M98" s="117">
        <v>1500000</v>
      </c>
    </row>
    <row r="99" spans="1:19" ht="15" customHeight="1" x14ac:dyDescent="0.3">
      <c r="A99" s="173">
        <v>48</v>
      </c>
      <c r="B99" s="167" t="s">
        <v>143</v>
      </c>
      <c r="C99" s="176" t="s">
        <v>62</v>
      </c>
      <c r="D99" s="128" t="s">
        <v>1</v>
      </c>
      <c r="E99" s="131">
        <v>741</v>
      </c>
      <c r="F99" s="54" t="s">
        <v>17</v>
      </c>
      <c r="G99" s="30">
        <f t="shared" si="50"/>
        <v>406564524.92999995</v>
      </c>
      <c r="H99" s="30">
        <f>H100+H101</f>
        <v>0</v>
      </c>
      <c r="I99" s="30">
        <f t="shared" ref="I99:L99" si="62">I100+I101</f>
        <v>0</v>
      </c>
      <c r="J99" s="30">
        <f t="shared" si="62"/>
        <v>0</v>
      </c>
      <c r="K99" s="30">
        <f t="shared" si="62"/>
        <v>0</v>
      </c>
      <c r="L99" s="30">
        <f t="shared" si="62"/>
        <v>101229681.64</v>
      </c>
      <c r="M99" s="64">
        <f>M100+M101</f>
        <v>305334843.28999996</v>
      </c>
    </row>
    <row r="100" spans="1:19" x14ac:dyDescent="0.3">
      <c r="A100" s="174"/>
      <c r="B100" s="168"/>
      <c r="C100" s="177"/>
      <c r="D100" s="128" t="s">
        <v>13</v>
      </c>
      <c r="E100" s="131">
        <v>741</v>
      </c>
      <c r="F100" s="54" t="s">
        <v>17</v>
      </c>
      <c r="G100" s="30">
        <f t="shared" si="50"/>
        <v>325352056.23999995</v>
      </c>
      <c r="H100" s="30">
        <f>H103</f>
        <v>0</v>
      </c>
      <c r="I100" s="30">
        <f t="shared" ref="I100:M101" si="63">I103</f>
        <v>0</v>
      </c>
      <c r="J100" s="30">
        <f t="shared" si="63"/>
        <v>0</v>
      </c>
      <c r="K100" s="30">
        <f t="shared" si="63"/>
        <v>0</v>
      </c>
      <c r="L100" s="30">
        <f t="shared" si="63"/>
        <v>56651619.210000001</v>
      </c>
      <c r="M100" s="64">
        <f t="shared" si="63"/>
        <v>268700437.02999997</v>
      </c>
    </row>
    <row r="101" spans="1:19" s="35" customFormat="1" ht="30.6" x14ac:dyDescent="0.3">
      <c r="A101" s="175"/>
      <c r="B101" s="169"/>
      <c r="C101" s="178"/>
      <c r="D101" s="128" t="s">
        <v>146</v>
      </c>
      <c r="E101" s="131">
        <v>741</v>
      </c>
      <c r="F101" s="54" t="s">
        <v>17</v>
      </c>
      <c r="G101" s="30">
        <f t="shared" si="50"/>
        <v>81212468.689999998</v>
      </c>
      <c r="H101" s="30">
        <f>H104</f>
        <v>0</v>
      </c>
      <c r="I101" s="30">
        <f t="shared" si="63"/>
        <v>0</v>
      </c>
      <c r="J101" s="30">
        <f t="shared" si="63"/>
        <v>0</v>
      </c>
      <c r="K101" s="30">
        <f t="shared" si="63"/>
        <v>0</v>
      </c>
      <c r="L101" s="30">
        <f t="shared" si="63"/>
        <v>44578062.43</v>
      </c>
      <c r="M101" s="64">
        <f>M104+M115</f>
        <v>36634406.259999998</v>
      </c>
    </row>
    <row r="102" spans="1:19" s="35" customFormat="1" ht="15" customHeight="1" x14ac:dyDescent="0.3">
      <c r="A102" s="173">
        <v>49</v>
      </c>
      <c r="B102" s="167" t="s">
        <v>144</v>
      </c>
      <c r="C102" s="176" t="s">
        <v>62</v>
      </c>
      <c r="D102" s="128" t="s">
        <v>1</v>
      </c>
      <c r="E102" s="131">
        <v>741</v>
      </c>
      <c r="F102" s="54" t="s">
        <v>166</v>
      </c>
      <c r="G102" s="30">
        <f t="shared" si="50"/>
        <v>398869444.73999995</v>
      </c>
      <c r="H102" s="30">
        <f>H103+H104</f>
        <v>0</v>
      </c>
      <c r="I102" s="30">
        <f t="shared" ref="I102:M102" si="64">I103+I104</f>
        <v>0</v>
      </c>
      <c r="J102" s="30">
        <f t="shared" si="64"/>
        <v>0</v>
      </c>
      <c r="K102" s="30">
        <f t="shared" si="64"/>
        <v>0</v>
      </c>
      <c r="L102" s="30">
        <f t="shared" si="64"/>
        <v>101229681.64</v>
      </c>
      <c r="M102" s="64">
        <f t="shared" si="64"/>
        <v>297639763.09999996</v>
      </c>
    </row>
    <row r="103" spans="1:19" s="35" customFormat="1" x14ac:dyDescent="0.3">
      <c r="A103" s="174"/>
      <c r="B103" s="168"/>
      <c r="C103" s="177"/>
      <c r="D103" s="128" t="s">
        <v>13</v>
      </c>
      <c r="E103" s="131">
        <v>741</v>
      </c>
      <c r="F103" s="54" t="s">
        <v>166</v>
      </c>
      <c r="G103" s="30">
        <f t="shared" si="50"/>
        <v>325352056.23999995</v>
      </c>
      <c r="H103" s="30">
        <v>0</v>
      </c>
      <c r="I103" s="30">
        <v>0</v>
      </c>
      <c r="J103" s="30">
        <v>0</v>
      </c>
      <c r="K103" s="30">
        <v>0</v>
      </c>
      <c r="L103" s="97">
        <f>L113+L110</f>
        <v>56651619.210000001</v>
      </c>
      <c r="M103" s="108">
        <f>M106</f>
        <v>268700437.02999997</v>
      </c>
    </row>
    <row r="104" spans="1:19" s="35" customFormat="1" ht="30.6" x14ac:dyDescent="0.3">
      <c r="A104" s="174"/>
      <c r="B104" s="168"/>
      <c r="C104" s="177"/>
      <c r="D104" s="128" t="s">
        <v>41</v>
      </c>
      <c r="E104" s="131">
        <v>741</v>
      </c>
      <c r="F104" s="54" t="s">
        <v>166</v>
      </c>
      <c r="G104" s="30">
        <f t="shared" si="50"/>
        <v>73517388.5</v>
      </c>
      <c r="H104" s="30">
        <v>0</v>
      </c>
      <c r="I104" s="30">
        <v>0</v>
      </c>
      <c r="J104" s="30">
        <v>0</v>
      </c>
      <c r="K104" s="30">
        <v>0</v>
      </c>
      <c r="L104" s="97">
        <f>L114+L111</f>
        <v>44578062.43</v>
      </c>
      <c r="M104" s="108">
        <f>M107+M108</f>
        <v>28939326.07</v>
      </c>
      <c r="R104" s="106" t="s">
        <v>171</v>
      </c>
      <c r="S104" s="104" t="s">
        <v>169</v>
      </c>
    </row>
    <row r="105" spans="1:19" s="35" customFormat="1" x14ac:dyDescent="0.3">
      <c r="A105" s="174"/>
      <c r="B105" s="168"/>
      <c r="C105" s="177"/>
      <c r="D105" s="128" t="s">
        <v>1</v>
      </c>
      <c r="E105" s="131">
        <v>741</v>
      </c>
      <c r="F105" s="54" t="s">
        <v>17</v>
      </c>
      <c r="G105" s="30">
        <f t="shared" ref="G105:G108" si="65">H105+I105+J105+K105+L105+M105</f>
        <v>297639763.09999996</v>
      </c>
      <c r="H105" s="30">
        <f>H106+H108</f>
        <v>0</v>
      </c>
      <c r="I105" s="30">
        <f t="shared" ref="I105:L105" si="66">I106+I108</f>
        <v>0</v>
      </c>
      <c r="J105" s="30">
        <f t="shared" si="66"/>
        <v>0</v>
      </c>
      <c r="K105" s="30">
        <f t="shared" si="66"/>
        <v>0</v>
      </c>
      <c r="L105" s="30">
        <f t="shared" si="66"/>
        <v>0</v>
      </c>
      <c r="M105" s="64">
        <f>M106+M107+M108</f>
        <v>297639763.09999996</v>
      </c>
      <c r="Q105" s="105" t="s">
        <v>1</v>
      </c>
      <c r="R105" s="107">
        <f>R106+R107+R108</f>
        <v>295275205.53000003</v>
      </c>
      <c r="S105" s="35">
        <f>S106+S107+S108</f>
        <v>0</v>
      </c>
    </row>
    <row r="106" spans="1:19" s="35" customFormat="1" ht="20.399999999999999" x14ac:dyDescent="0.3">
      <c r="A106" s="174"/>
      <c r="B106" s="168"/>
      <c r="C106" s="177"/>
      <c r="D106" s="128" t="s">
        <v>13</v>
      </c>
      <c r="E106" s="131">
        <v>741</v>
      </c>
      <c r="F106" s="54" t="s">
        <v>165</v>
      </c>
      <c r="G106" s="30">
        <f t="shared" si="65"/>
        <v>268700437.02999997</v>
      </c>
      <c r="H106" s="30">
        <v>0</v>
      </c>
      <c r="I106" s="30">
        <v>0</v>
      </c>
      <c r="J106" s="30">
        <v>0</v>
      </c>
      <c r="K106" s="30">
        <v>0</v>
      </c>
      <c r="L106" s="97">
        <v>0</v>
      </c>
      <c r="M106" s="117">
        <v>268700437.02999997</v>
      </c>
      <c r="N106" s="35" t="s">
        <v>161</v>
      </c>
      <c r="Q106" s="105" t="s">
        <v>119</v>
      </c>
      <c r="R106" s="107">
        <v>234655976.15000001</v>
      </c>
    </row>
    <row r="107" spans="1:19" s="35" customFormat="1" ht="30.6" x14ac:dyDescent="0.3">
      <c r="A107" s="174"/>
      <c r="B107" s="168"/>
      <c r="C107" s="177"/>
      <c r="D107" s="128" t="s">
        <v>146</v>
      </c>
      <c r="E107" s="131">
        <v>741</v>
      </c>
      <c r="F107" s="54" t="s">
        <v>165</v>
      </c>
      <c r="G107" s="30">
        <f t="shared" ref="G107" si="67">H107+I107+J107+K107+L107+M107</f>
        <v>26574768.5</v>
      </c>
      <c r="H107" s="30">
        <v>0</v>
      </c>
      <c r="I107" s="30">
        <v>0</v>
      </c>
      <c r="J107" s="30">
        <v>0</v>
      </c>
      <c r="K107" s="30">
        <v>0</v>
      </c>
      <c r="L107" s="97">
        <v>0</v>
      </c>
      <c r="M107" s="117">
        <v>26574768.5</v>
      </c>
      <c r="N107" s="35" t="s">
        <v>167</v>
      </c>
      <c r="Q107" s="105" t="s">
        <v>13</v>
      </c>
      <c r="R107" s="107">
        <v>34044460.880000003</v>
      </c>
    </row>
    <row r="108" spans="1:19" s="35" customFormat="1" ht="30.6" x14ac:dyDescent="0.3">
      <c r="A108" s="174"/>
      <c r="B108" s="168"/>
      <c r="C108" s="177"/>
      <c r="D108" s="128" t="s">
        <v>146</v>
      </c>
      <c r="E108" s="131">
        <v>741</v>
      </c>
      <c r="F108" s="54" t="s">
        <v>164</v>
      </c>
      <c r="G108" s="30">
        <f t="shared" si="65"/>
        <v>2364557.5699999998</v>
      </c>
      <c r="H108" s="30">
        <v>0</v>
      </c>
      <c r="I108" s="30">
        <v>0</v>
      </c>
      <c r="J108" s="30">
        <v>0</v>
      </c>
      <c r="K108" s="30">
        <v>0</v>
      </c>
      <c r="L108" s="97">
        <v>0</v>
      </c>
      <c r="M108" s="119">
        <f>5876848.8-3512291.23</f>
        <v>2364557.5699999998</v>
      </c>
      <c r="N108" s="35" t="s">
        <v>162</v>
      </c>
      <c r="O108" s="121">
        <v>-3512291.23</v>
      </c>
      <c r="Q108" s="105" t="s">
        <v>146</v>
      </c>
      <c r="R108" s="107">
        <v>26574768.5</v>
      </c>
    </row>
    <row r="109" spans="1:19" s="35" customFormat="1" ht="15" customHeight="1" x14ac:dyDescent="0.3">
      <c r="A109" s="174"/>
      <c r="B109" s="168"/>
      <c r="C109" s="177"/>
      <c r="D109" s="128" t="s">
        <v>1</v>
      </c>
      <c r="E109" s="131">
        <v>741</v>
      </c>
      <c r="F109" s="54" t="s">
        <v>17</v>
      </c>
      <c r="G109" s="30">
        <f t="shared" si="50"/>
        <v>15995900.24</v>
      </c>
      <c r="H109" s="30">
        <f>H110+H111</f>
        <v>0</v>
      </c>
      <c r="I109" s="30">
        <f t="shared" ref="I109:M109" si="68">I110+I111</f>
        <v>0</v>
      </c>
      <c r="J109" s="30">
        <f t="shared" si="68"/>
        <v>0</v>
      </c>
      <c r="K109" s="30">
        <f t="shared" si="68"/>
        <v>0</v>
      </c>
      <c r="L109" s="30">
        <f t="shared" si="68"/>
        <v>15995900.24</v>
      </c>
      <c r="M109" s="64">
        <f t="shared" si="68"/>
        <v>0</v>
      </c>
      <c r="N109" s="35" t="s">
        <v>161</v>
      </c>
    </row>
    <row r="110" spans="1:19" s="35" customFormat="1" x14ac:dyDescent="0.3">
      <c r="A110" s="174"/>
      <c r="B110" s="168"/>
      <c r="C110" s="177"/>
      <c r="D110" s="128" t="s">
        <v>13</v>
      </c>
      <c r="E110" s="131">
        <v>741</v>
      </c>
      <c r="F110" s="54" t="s">
        <v>141</v>
      </c>
      <c r="G110" s="30">
        <f t="shared" si="50"/>
        <v>14556269.210000001</v>
      </c>
      <c r="H110" s="30">
        <v>0</v>
      </c>
      <c r="I110" s="30">
        <v>0</v>
      </c>
      <c r="J110" s="30">
        <v>0</v>
      </c>
      <c r="K110" s="30">
        <v>0</v>
      </c>
      <c r="L110" s="97">
        <v>14556269.210000001</v>
      </c>
      <c r="M110" s="108">
        <v>0</v>
      </c>
    </row>
    <row r="111" spans="1:19" s="35" customFormat="1" ht="30.6" x14ac:dyDescent="0.3">
      <c r="A111" s="174"/>
      <c r="B111" s="168"/>
      <c r="C111" s="177"/>
      <c r="D111" s="128" t="s">
        <v>146</v>
      </c>
      <c r="E111" s="131">
        <v>741</v>
      </c>
      <c r="F111" s="54" t="s">
        <v>141</v>
      </c>
      <c r="G111" s="30">
        <f t="shared" si="50"/>
        <v>1439631.03</v>
      </c>
      <c r="H111" s="30">
        <v>0</v>
      </c>
      <c r="I111" s="30">
        <v>0</v>
      </c>
      <c r="J111" s="30">
        <v>0</v>
      </c>
      <c r="K111" s="30">
        <v>0</v>
      </c>
      <c r="L111" s="97">
        <v>1439631.03</v>
      </c>
      <c r="M111" s="108">
        <v>0</v>
      </c>
    </row>
    <row r="112" spans="1:19" s="35" customFormat="1" x14ac:dyDescent="0.3">
      <c r="A112" s="174"/>
      <c r="B112" s="168"/>
      <c r="C112" s="177"/>
      <c r="D112" s="128" t="s">
        <v>1</v>
      </c>
      <c r="E112" s="131">
        <v>741</v>
      </c>
      <c r="F112" s="54" t="s">
        <v>17</v>
      </c>
      <c r="G112" s="30">
        <f t="shared" si="50"/>
        <v>85233781.400000006</v>
      </c>
      <c r="H112" s="30">
        <f>H113+H114</f>
        <v>0</v>
      </c>
      <c r="I112" s="30">
        <f t="shared" ref="I112:M112" si="69">I113+I114</f>
        <v>0</v>
      </c>
      <c r="J112" s="30">
        <f t="shared" si="69"/>
        <v>0</v>
      </c>
      <c r="K112" s="30">
        <f t="shared" si="69"/>
        <v>0</v>
      </c>
      <c r="L112" s="30">
        <f t="shared" si="69"/>
        <v>85233781.400000006</v>
      </c>
      <c r="M112" s="64">
        <f t="shared" si="69"/>
        <v>0</v>
      </c>
      <c r="N112" s="35" t="s">
        <v>163</v>
      </c>
    </row>
    <row r="113" spans="1:15" s="35" customFormat="1" x14ac:dyDescent="0.3">
      <c r="A113" s="174"/>
      <c r="B113" s="168"/>
      <c r="C113" s="177"/>
      <c r="D113" s="128" t="s">
        <v>13</v>
      </c>
      <c r="E113" s="131">
        <v>741</v>
      </c>
      <c r="F113" s="54" t="s">
        <v>142</v>
      </c>
      <c r="G113" s="30">
        <f t="shared" si="50"/>
        <v>42095350</v>
      </c>
      <c r="H113" s="30">
        <v>0</v>
      </c>
      <c r="I113" s="30">
        <v>0</v>
      </c>
      <c r="J113" s="30">
        <v>0</v>
      </c>
      <c r="K113" s="30">
        <v>0</v>
      </c>
      <c r="L113" s="97">
        <v>42095350</v>
      </c>
      <c r="M113" s="108">
        <v>0</v>
      </c>
    </row>
    <row r="114" spans="1:15" s="35" customFormat="1" ht="44.25" customHeight="1" x14ac:dyDescent="0.3">
      <c r="A114" s="175"/>
      <c r="B114" s="169"/>
      <c r="C114" s="178"/>
      <c r="D114" s="128" t="s">
        <v>146</v>
      </c>
      <c r="E114" s="131">
        <v>741</v>
      </c>
      <c r="F114" s="54" t="s">
        <v>111</v>
      </c>
      <c r="G114" s="30">
        <f>H114+I114+J114+K114+L114+M114</f>
        <v>43138431.399999999</v>
      </c>
      <c r="H114" s="30">
        <v>0</v>
      </c>
      <c r="I114" s="30">
        <v>0</v>
      </c>
      <c r="J114" s="30">
        <v>0</v>
      </c>
      <c r="K114" s="30">
        <v>0</v>
      </c>
      <c r="L114" s="97">
        <v>43138431.399999999</v>
      </c>
      <c r="M114" s="108">
        <v>0</v>
      </c>
    </row>
    <row r="115" spans="1:15" s="35" customFormat="1" ht="52.5" customHeight="1" x14ac:dyDescent="0.3">
      <c r="A115" s="143"/>
      <c r="B115" s="153" t="s">
        <v>176</v>
      </c>
      <c r="C115" s="146" t="s">
        <v>62</v>
      </c>
      <c r="D115" s="141" t="s">
        <v>146</v>
      </c>
      <c r="E115" s="137">
        <v>741</v>
      </c>
      <c r="F115" s="54" t="s">
        <v>173</v>
      </c>
      <c r="G115" s="30">
        <f>H115+I115+J115+K115+L115+M115</f>
        <v>7695080.1900000004</v>
      </c>
      <c r="H115" s="30">
        <v>0</v>
      </c>
      <c r="I115" s="30">
        <v>0</v>
      </c>
      <c r="J115" s="30">
        <v>0</v>
      </c>
      <c r="K115" s="30">
        <v>0</v>
      </c>
      <c r="L115" s="97">
        <v>0</v>
      </c>
      <c r="M115" s="119">
        <v>7695080.1900000004</v>
      </c>
      <c r="O115" s="121">
        <v>7695080.1900000004</v>
      </c>
    </row>
    <row r="116" spans="1:15" ht="61.2" x14ac:dyDescent="0.3">
      <c r="A116" s="122">
        <v>50</v>
      </c>
      <c r="B116" s="123" t="s">
        <v>45</v>
      </c>
      <c r="C116" s="124" t="s">
        <v>60</v>
      </c>
      <c r="D116" s="128" t="s">
        <v>146</v>
      </c>
      <c r="E116" s="54" t="s">
        <v>17</v>
      </c>
      <c r="F116" s="54" t="s">
        <v>17</v>
      </c>
      <c r="G116" s="30">
        <f t="shared" si="50"/>
        <v>11313500</v>
      </c>
      <c r="H116" s="30">
        <f t="shared" ref="H116:J116" si="70">H118+H120+H122+H124+H126</f>
        <v>11313500</v>
      </c>
      <c r="I116" s="30">
        <f t="shared" si="70"/>
        <v>0</v>
      </c>
      <c r="J116" s="30">
        <f t="shared" si="70"/>
        <v>0</v>
      </c>
      <c r="K116" s="30">
        <f>K117</f>
        <v>0</v>
      </c>
      <c r="L116" s="30">
        <f t="shared" ref="L116:M116" si="71">L117</f>
        <v>0</v>
      </c>
      <c r="M116" s="64">
        <f t="shared" si="71"/>
        <v>0</v>
      </c>
    </row>
    <row r="117" spans="1:15" ht="61.2" x14ac:dyDescent="0.3">
      <c r="A117" s="122">
        <v>51</v>
      </c>
      <c r="B117" s="124" t="s">
        <v>27</v>
      </c>
      <c r="C117" s="124" t="s">
        <v>60</v>
      </c>
      <c r="D117" s="128" t="s">
        <v>146</v>
      </c>
      <c r="E117" s="54" t="s">
        <v>17</v>
      </c>
      <c r="F117" s="54" t="s">
        <v>17</v>
      </c>
      <c r="G117" s="30">
        <f t="shared" si="50"/>
        <v>11162472</v>
      </c>
      <c r="H117" s="30">
        <f t="shared" ref="H117:J118" si="72">H118</f>
        <v>11162472</v>
      </c>
      <c r="I117" s="30">
        <f t="shared" si="72"/>
        <v>0</v>
      </c>
      <c r="J117" s="30">
        <f t="shared" si="72"/>
        <v>0</v>
      </c>
      <c r="K117" s="30">
        <f>K118+K120+K122+K124+K126</f>
        <v>0</v>
      </c>
      <c r="L117" s="30">
        <f t="shared" ref="L117:M117" si="73">L118+L120+L122+L124+L126</f>
        <v>0</v>
      </c>
      <c r="M117" s="64">
        <f t="shared" si="73"/>
        <v>0</v>
      </c>
    </row>
    <row r="118" spans="1:15" ht="40.799999999999997" x14ac:dyDescent="0.3">
      <c r="A118" s="122">
        <v>52</v>
      </c>
      <c r="B118" s="124" t="s">
        <v>28</v>
      </c>
      <c r="C118" s="124" t="s">
        <v>62</v>
      </c>
      <c r="D118" s="128" t="s">
        <v>146</v>
      </c>
      <c r="E118" s="131">
        <v>741</v>
      </c>
      <c r="F118" s="54" t="s">
        <v>17</v>
      </c>
      <c r="G118" s="30">
        <f t="shared" si="50"/>
        <v>11162472</v>
      </c>
      <c r="H118" s="30">
        <f t="shared" si="72"/>
        <v>11162472</v>
      </c>
      <c r="I118" s="30">
        <f t="shared" si="72"/>
        <v>0</v>
      </c>
      <c r="J118" s="30">
        <f t="shared" si="72"/>
        <v>0</v>
      </c>
      <c r="K118" s="30">
        <f>K119</f>
        <v>0</v>
      </c>
      <c r="L118" s="30">
        <f t="shared" ref="L118:M118" si="74">L119</f>
        <v>0</v>
      </c>
      <c r="M118" s="64">
        <f t="shared" si="74"/>
        <v>0</v>
      </c>
    </row>
    <row r="119" spans="1:15" ht="50.25" customHeight="1" x14ac:dyDescent="0.3">
      <c r="A119" s="122">
        <v>53</v>
      </c>
      <c r="B119" s="124" t="s">
        <v>29</v>
      </c>
      <c r="C119" s="124" t="s">
        <v>62</v>
      </c>
      <c r="D119" s="128" t="s">
        <v>146</v>
      </c>
      <c r="E119" s="131">
        <v>741</v>
      </c>
      <c r="F119" s="54" t="s">
        <v>17</v>
      </c>
      <c r="G119" s="30">
        <f t="shared" si="50"/>
        <v>11162472</v>
      </c>
      <c r="H119" s="30">
        <v>11162472</v>
      </c>
      <c r="I119" s="30">
        <v>0</v>
      </c>
      <c r="J119" s="30">
        <v>0</v>
      </c>
      <c r="K119" s="31">
        <v>0</v>
      </c>
      <c r="L119" s="31">
        <v>0</v>
      </c>
      <c r="M119" s="108">
        <v>0</v>
      </c>
    </row>
    <row r="120" spans="1:15" ht="30.6" x14ac:dyDescent="0.3">
      <c r="A120" s="122">
        <v>54</v>
      </c>
      <c r="B120" s="124" t="s">
        <v>30</v>
      </c>
      <c r="C120" s="124" t="s">
        <v>62</v>
      </c>
      <c r="D120" s="128" t="s">
        <v>43</v>
      </c>
      <c r="E120" s="131">
        <v>741</v>
      </c>
      <c r="F120" s="54" t="s">
        <v>17</v>
      </c>
      <c r="G120" s="30">
        <f t="shared" si="50"/>
        <v>0</v>
      </c>
      <c r="H120" s="30">
        <f>H121</f>
        <v>0</v>
      </c>
      <c r="I120" s="30">
        <f>I121</f>
        <v>0</v>
      </c>
      <c r="J120" s="30">
        <f>J121</f>
        <v>0</v>
      </c>
      <c r="K120" s="31">
        <f>K121</f>
        <v>0</v>
      </c>
      <c r="L120" s="31">
        <f t="shared" ref="L120:M120" si="75">L121</f>
        <v>0</v>
      </c>
      <c r="M120" s="108">
        <f t="shared" si="75"/>
        <v>0</v>
      </c>
    </row>
    <row r="121" spans="1:15" ht="30.6" x14ac:dyDescent="0.3">
      <c r="A121" s="122">
        <v>55</v>
      </c>
      <c r="B121" s="124" t="s">
        <v>31</v>
      </c>
      <c r="C121" s="124" t="s">
        <v>62</v>
      </c>
      <c r="D121" s="128" t="s">
        <v>43</v>
      </c>
      <c r="E121" s="131">
        <v>741</v>
      </c>
      <c r="F121" s="54" t="s">
        <v>17</v>
      </c>
      <c r="G121" s="30">
        <f t="shared" si="50"/>
        <v>0</v>
      </c>
      <c r="H121" s="30">
        <v>0</v>
      </c>
      <c r="I121" s="30">
        <v>0</v>
      </c>
      <c r="J121" s="30">
        <v>0</v>
      </c>
      <c r="K121" s="31">
        <v>0</v>
      </c>
      <c r="L121" s="31">
        <v>0</v>
      </c>
      <c r="M121" s="108">
        <v>0</v>
      </c>
    </row>
    <row r="122" spans="1:15" ht="40.799999999999997" x14ac:dyDescent="0.3">
      <c r="A122" s="122">
        <v>56</v>
      </c>
      <c r="B122" s="124" t="s">
        <v>32</v>
      </c>
      <c r="C122" s="124" t="s">
        <v>62</v>
      </c>
      <c r="D122" s="128" t="s">
        <v>43</v>
      </c>
      <c r="E122" s="131">
        <v>741</v>
      </c>
      <c r="F122" s="54" t="s">
        <v>17</v>
      </c>
      <c r="G122" s="30">
        <f t="shared" si="50"/>
        <v>0</v>
      </c>
      <c r="H122" s="30">
        <f>H123</f>
        <v>0</v>
      </c>
      <c r="I122" s="30">
        <f>I123</f>
        <v>0</v>
      </c>
      <c r="J122" s="30">
        <f>J123</f>
        <v>0</v>
      </c>
      <c r="K122" s="31">
        <f>K123</f>
        <v>0</v>
      </c>
      <c r="L122" s="31">
        <f t="shared" ref="L122:M122" si="76">L123</f>
        <v>0</v>
      </c>
      <c r="M122" s="108">
        <f t="shared" si="76"/>
        <v>0</v>
      </c>
    </row>
    <row r="123" spans="1:15" ht="40.799999999999997" x14ac:dyDescent="0.3">
      <c r="A123" s="122">
        <v>57</v>
      </c>
      <c r="B123" s="124" t="s">
        <v>33</v>
      </c>
      <c r="C123" s="124" t="s">
        <v>62</v>
      </c>
      <c r="D123" s="128" t="s">
        <v>43</v>
      </c>
      <c r="E123" s="131">
        <v>741</v>
      </c>
      <c r="F123" s="54" t="s">
        <v>17</v>
      </c>
      <c r="G123" s="30">
        <f t="shared" si="50"/>
        <v>0</v>
      </c>
      <c r="H123" s="30">
        <v>0</v>
      </c>
      <c r="I123" s="30">
        <v>0</v>
      </c>
      <c r="J123" s="30">
        <v>0</v>
      </c>
      <c r="K123" s="31">
        <v>0</v>
      </c>
      <c r="L123" s="31">
        <v>0</v>
      </c>
      <c r="M123" s="108">
        <v>0</v>
      </c>
    </row>
    <row r="124" spans="1:15" ht="40.799999999999997" x14ac:dyDescent="0.3">
      <c r="A124" s="122">
        <v>58</v>
      </c>
      <c r="B124" s="124" t="s">
        <v>34</v>
      </c>
      <c r="C124" s="90" t="s">
        <v>62</v>
      </c>
      <c r="D124" s="128" t="s">
        <v>43</v>
      </c>
      <c r="E124" s="131">
        <v>741</v>
      </c>
      <c r="F124" s="54" t="s">
        <v>17</v>
      </c>
      <c r="G124" s="30">
        <f t="shared" si="50"/>
        <v>0</v>
      </c>
      <c r="H124" s="30">
        <f>H125</f>
        <v>0</v>
      </c>
      <c r="I124" s="30">
        <f>I125</f>
        <v>0</v>
      </c>
      <c r="J124" s="30">
        <f>J125</f>
        <v>0</v>
      </c>
      <c r="K124" s="31">
        <f>K125</f>
        <v>0</v>
      </c>
      <c r="L124" s="31">
        <f t="shared" ref="L124:M124" si="77">L125</f>
        <v>0</v>
      </c>
      <c r="M124" s="108">
        <f t="shared" si="77"/>
        <v>0</v>
      </c>
    </row>
    <row r="125" spans="1:15" ht="51" x14ac:dyDescent="0.3">
      <c r="A125" s="122">
        <v>59</v>
      </c>
      <c r="B125" s="124" t="s">
        <v>150</v>
      </c>
      <c r="C125" s="90" t="s">
        <v>62</v>
      </c>
      <c r="D125" s="128" t="s">
        <v>43</v>
      </c>
      <c r="E125" s="131">
        <v>741</v>
      </c>
      <c r="F125" s="54" t="s">
        <v>17</v>
      </c>
      <c r="G125" s="30">
        <f t="shared" si="50"/>
        <v>0</v>
      </c>
      <c r="H125" s="30">
        <v>0</v>
      </c>
      <c r="I125" s="30">
        <v>0</v>
      </c>
      <c r="J125" s="30">
        <v>0</v>
      </c>
      <c r="K125" s="31">
        <v>0</v>
      </c>
      <c r="L125" s="31">
        <v>0</v>
      </c>
      <c r="M125" s="108">
        <v>0</v>
      </c>
    </row>
    <row r="126" spans="1:15" ht="61.2" x14ac:dyDescent="0.3">
      <c r="A126" s="122">
        <v>60</v>
      </c>
      <c r="B126" s="124" t="s">
        <v>36</v>
      </c>
      <c r="C126" s="90" t="s">
        <v>60</v>
      </c>
      <c r="D126" s="128" t="s">
        <v>41</v>
      </c>
      <c r="E126" s="131" t="s">
        <v>17</v>
      </c>
      <c r="F126" s="54" t="s">
        <v>17</v>
      </c>
      <c r="G126" s="30">
        <f t="shared" si="50"/>
        <v>151028</v>
      </c>
      <c r="H126" s="30">
        <f t="shared" ref="H126:J126" si="78">H127+H128+H129+H130+H131</f>
        <v>151028</v>
      </c>
      <c r="I126" s="30">
        <f t="shared" si="78"/>
        <v>0</v>
      </c>
      <c r="J126" s="30">
        <f t="shared" si="78"/>
        <v>0</v>
      </c>
      <c r="K126" s="30">
        <f>K127+K128+K129+K130+K131</f>
        <v>0</v>
      </c>
      <c r="L126" s="30">
        <f t="shared" ref="L126:M126" si="79">L127+L128+L129+L130+L131</f>
        <v>0</v>
      </c>
      <c r="M126" s="64">
        <f t="shared" si="79"/>
        <v>0</v>
      </c>
    </row>
    <row r="127" spans="1:15" ht="30.6" x14ac:dyDescent="0.3">
      <c r="A127" s="122">
        <v>61</v>
      </c>
      <c r="B127" s="20" t="s">
        <v>37</v>
      </c>
      <c r="C127" s="124" t="s">
        <v>62</v>
      </c>
      <c r="D127" s="128" t="s">
        <v>43</v>
      </c>
      <c r="E127" s="131">
        <v>741</v>
      </c>
      <c r="F127" s="54" t="s">
        <v>17</v>
      </c>
      <c r="G127" s="30">
        <f t="shared" si="50"/>
        <v>0</v>
      </c>
      <c r="H127" s="30">
        <v>0</v>
      </c>
      <c r="I127" s="30">
        <v>0</v>
      </c>
      <c r="J127" s="30">
        <v>0</v>
      </c>
      <c r="K127" s="31">
        <v>0</v>
      </c>
      <c r="L127" s="31">
        <v>0</v>
      </c>
      <c r="M127" s="108">
        <v>0</v>
      </c>
    </row>
    <row r="128" spans="1:15" ht="40.799999999999997" x14ac:dyDescent="0.3">
      <c r="A128" s="122">
        <v>62</v>
      </c>
      <c r="B128" s="124" t="s">
        <v>38</v>
      </c>
      <c r="C128" s="124" t="s">
        <v>62</v>
      </c>
      <c r="D128" s="128" t="s">
        <v>43</v>
      </c>
      <c r="E128" s="131">
        <v>741</v>
      </c>
      <c r="F128" s="54" t="s">
        <v>17</v>
      </c>
      <c r="G128" s="30">
        <f t="shared" si="50"/>
        <v>0</v>
      </c>
      <c r="H128" s="30">
        <v>0</v>
      </c>
      <c r="I128" s="30">
        <v>0</v>
      </c>
      <c r="J128" s="30">
        <v>0</v>
      </c>
      <c r="K128" s="31">
        <v>0</v>
      </c>
      <c r="L128" s="31">
        <v>0</v>
      </c>
      <c r="M128" s="108">
        <v>0</v>
      </c>
    </row>
    <row r="129" spans="1:15" ht="30.6" x14ac:dyDescent="0.3">
      <c r="A129" s="122">
        <v>63</v>
      </c>
      <c r="B129" s="124" t="s">
        <v>39</v>
      </c>
      <c r="C129" s="124" t="s">
        <v>62</v>
      </c>
      <c r="D129" s="128" t="s">
        <v>43</v>
      </c>
      <c r="E129" s="131">
        <v>741</v>
      </c>
      <c r="F129" s="54" t="s">
        <v>17</v>
      </c>
      <c r="G129" s="30">
        <f t="shared" si="50"/>
        <v>0</v>
      </c>
      <c r="H129" s="30">
        <v>0</v>
      </c>
      <c r="I129" s="30">
        <v>0</v>
      </c>
      <c r="J129" s="30">
        <v>0</v>
      </c>
      <c r="K129" s="31">
        <v>0</v>
      </c>
      <c r="L129" s="31">
        <v>0</v>
      </c>
      <c r="M129" s="108">
        <v>0</v>
      </c>
    </row>
    <row r="130" spans="1:15" ht="30.6" x14ac:dyDescent="0.3">
      <c r="A130" s="122">
        <v>64</v>
      </c>
      <c r="B130" s="124" t="s">
        <v>48</v>
      </c>
      <c r="C130" s="124" t="s">
        <v>62</v>
      </c>
      <c r="D130" s="128" t="s">
        <v>43</v>
      </c>
      <c r="E130" s="131">
        <v>741</v>
      </c>
      <c r="F130" s="54" t="s">
        <v>17</v>
      </c>
      <c r="G130" s="30">
        <f t="shared" si="50"/>
        <v>0</v>
      </c>
      <c r="H130" s="30">
        <v>0</v>
      </c>
      <c r="I130" s="30">
        <v>0</v>
      </c>
      <c r="J130" s="30">
        <v>0</v>
      </c>
      <c r="K130" s="31">
        <v>0</v>
      </c>
      <c r="L130" s="31">
        <v>0</v>
      </c>
      <c r="M130" s="108">
        <v>0</v>
      </c>
    </row>
    <row r="131" spans="1:15" ht="30.6" x14ac:dyDescent="0.3">
      <c r="A131" s="122">
        <v>65</v>
      </c>
      <c r="B131" s="124" t="s">
        <v>40</v>
      </c>
      <c r="C131" s="124" t="s">
        <v>46</v>
      </c>
      <c r="D131" s="128" t="s">
        <v>146</v>
      </c>
      <c r="E131" s="131">
        <v>739</v>
      </c>
      <c r="F131" s="54" t="s">
        <v>17</v>
      </c>
      <c r="G131" s="30">
        <f t="shared" si="50"/>
        <v>151028</v>
      </c>
      <c r="H131" s="30">
        <v>151028</v>
      </c>
      <c r="I131" s="30">
        <v>0</v>
      </c>
      <c r="J131" s="30">
        <v>0</v>
      </c>
      <c r="K131" s="31">
        <v>0</v>
      </c>
      <c r="L131" s="31">
        <v>0</v>
      </c>
      <c r="M131" s="108">
        <v>0</v>
      </c>
    </row>
    <row r="132" spans="1:15" ht="78" customHeight="1" x14ac:dyDescent="0.3">
      <c r="A132" s="122">
        <v>66</v>
      </c>
      <c r="B132" s="123" t="s">
        <v>149</v>
      </c>
      <c r="C132" s="124" t="s">
        <v>60</v>
      </c>
      <c r="D132" s="128" t="s">
        <v>146</v>
      </c>
      <c r="E132" s="131" t="s">
        <v>17</v>
      </c>
      <c r="F132" s="54" t="s">
        <v>17</v>
      </c>
      <c r="G132" s="30">
        <f t="shared" si="50"/>
        <v>44818997.120000005</v>
      </c>
      <c r="H132" s="30">
        <f t="shared" ref="H132:J132" si="80">H134+H136+H138+H140+H142</f>
        <v>0</v>
      </c>
      <c r="I132" s="30">
        <f t="shared" si="80"/>
        <v>12225545</v>
      </c>
      <c r="J132" s="30">
        <f t="shared" si="80"/>
        <v>12587967.800000001</v>
      </c>
      <c r="K132" s="30">
        <f>K133</f>
        <v>12549583.26</v>
      </c>
      <c r="L132" s="30">
        <f t="shared" ref="L132" si="81">L133</f>
        <v>495295.5</v>
      </c>
      <c r="M132" s="64">
        <f>M133</f>
        <v>6960605.5599999996</v>
      </c>
    </row>
    <row r="133" spans="1:15" ht="75" customHeight="1" x14ac:dyDescent="0.3">
      <c r="A133" s="122">
        <v>67</v>
      </c>
      <c r="B133" s="124" t="s">
        <v>27</v>
      </c>
      <c r="C133" s="124" t="s">
        <v>60</v>
      </c>
      <c r="D133" s="128" t="s">
        <v>146</v>
      </c>
      <c r="E133" s="131" t="s">
        <v>17</v>
      </c>
      <c r="F133" s="54" t="s">
        <v>17</v>
      </c>
      <c r="G133" s="30">
        <f t="shared" si="50"/>
        <v>44517002.120000005</v>
      </c>
      <c r="H133" s="30">
        <f t="shared" ref="H133:M134" si="82">H134</f>
        <v>0</v>
      </c>
      <c r="I133" s="30">
        <f t="shared" si="82"/>
        <v>12074550</v>
      </c>
      <c r="J133" s="30">
        <f t="shared" si="82"/>
        <v>12436967.800000001</v>
      </c>
      <c r="K133" s="30">
        <f>K134+K136++K138+K140+K142</f>
        <v>12549583.26</v>
      </c>
      <c r="L133" s="30">
        <f t="shared" ref="L133:M133" si="83">L134+L136++L138+L140+L142</f>
        <v>495295.5</v>
      </c>
      <c r="M133" s="64">
        <f t="shared" si="83"/>
        <v>6960605.5599999996</v>
      </c>
    </row>
    <row r="134" spans="1:15" ht="30.6" x14ac:dyDescent="0.3">
      <c r="A134" s="122">
        <v>68</v>
      </c>
      <c r="B134" s="124" t="s">
        <v>148</v>
      </c>
      <c r="C134" s="124" t="s">
        <v>62</v>
      </c>
      <c r="D134" s="128" t="s">
        <v>146</v>
      </c>
      <c r="E134" s="131">
        <v>741</v>
      </c>
      <c r="F134" s="54" t="s">
        <v>17</v>
      </c>
      <c r="G134" s="30">
        <f t="shared" si="50"/>
        <v>44224640.030000001</v>
      </c>
      <c r="H134" s="30">
        <f>H135</f>
        <v>0</v>
      </c>
      <c r="I134" s="30">
        <f t="shared" si="82"/>
        <v>12074550</v>
      </c>
      <c r="J134" s="30">
        <f t="shared" si="82"/>
        <v>12436967.800000001</v>
      </c>
      <c r="K134" s="30">
        <f>K135</f>
        <v>12408221.17</v>
      </c>
      <c r="L134" s="30">
        <f t="shared" si="82"/>
        <v>495295.5</v>
      </c>
      <c r="M134" s="64">
        <f t="shared" si="82"/>
        <v>6809605.5599999996</v>
      </c>
    </row>
    <row r="135" spans="1:15" ht="40.799999999999997" x14ac:dyDescent="0.3">
      <c r="A135" s="122">
        <v>69</v>
      </c>
      <c r="B135" s="124" t="s">
        <v>29</v>
      </c>
      <c r="C135" s="124" t="s">
        <v>62</v>
      </c>
      <c r="D135" s="128" t="s">
        <v>146</v>
      </c>
      <c r="E135" s="131">
        <v>741</v>
      </c>
      <c r="F135" s="54" t="s">
        <v>112</v>
      </c>
      <c r="G135" s="30">
        <f t="shared" si="50"/>
        <v>44224640.030000001</v>
      </c>
      <c r="H135" s="30">
        <v>0</v>
      </c>
      <c r="I135" s="30">
        <v>12074550</v>
      </c>
      <c r="J135" s="30">
        <f>13019800-582832.2</f>
        <v>12436967.800000001</v>
      </c>
      <c r="K135" s="31">
        <v>12408221.17</v>
      </c>
      <c r="L135" s="31">
        <v>495295.5</v>
      </c>
      <c r="M135" s="119">
        <f>13245352-225552-6210194.44</f>
        <v>6809605.5599999996</v>
      </c>
      <c r="O135" s="118">
        <v>-6210194.4400000004</v>
      </c>
    </row>
    <row r="136" spans="1:15" ht="30.6" x14ac:dyDescent="0.3">
      <c r="A136" s="122">
        <v>70</v>
      </c>
      <c r="B136" s="124" t="s">
        <v>30</v>
      </c>
      <c r="C136" s="124" t="s">
        <v>62</v>
      </c>
      <c r="D136" s="128" t="s">
        <v>43</v>
      </c>
      <c r="E136" s="54" t="s">
        <v>130</v>
      </c>
      <c r="F136" s="54" t="s">
        <v>17</v>
      </c>
      <c r="G136" s="30">
        <f t="shared" si="50"/>
        <v>0</v>
      </c>
      <c r="H136" s="30">
        <f>H137</f>
        <v>0</v>
      </c>
      <c r="I136" s="30">
        <f>I137</f>
        <v>0</v>
      </c>
      <c r="J136" s="30">
        <f>J137</f>
        <v>0</v>
      </c>
      <c r="K136" s="31">
        <f>K137</f>
        <v>0</v>
      </c>
      <c r="L136" s="31">
        <f t="shared" ref="L136:M136" si="84">L137</f>
        <v>0</v>
      </c>
      <c r="M136" s="108">
        <f t="shared" si="84"/>
        <v>0</v>
      </c>
    </row>
    <row r="137" spans="1:15" ht="30.6" x14ac:dyDescent="0.3">
      <c r="A137" s="122">
        <v>71</v>
      </c>
      <c r="B137" s="124" t="s">
        <v>31</v>
      </c>
      <c r="C137" s="124" t="s">
        <v>62</v>
      </c>
      <c r="D137" s="128" t="s">
        <v>43</v>
      </c>
      <c r="E137" s="131">
        <v>741</v>
      </c>
      <c r="F137" s="54" t="s">
        <v>17</v>
      </c>
      <c r="G137" s="30">
        <f t="shared" si="50"/>
        <v>0</v>
      </c>
      <c r="H137" s="30">
        <v>0</v>
      </c>
      <c r="I137" s="30">
        <v>0</v>
      </c>
      <c r="J137" s="30">
        <v>0</v>
      </c>
      <c r="K137" s="31">
        <v>0</v>
      </c>
      <c r="L137" s="31">
        <v>0</v>
      </c>
      <c r="M137" s="108">
        <v>0</v>
      </c>
    </row>
    <row r="138" spans="1:15" ht="40.799999999999997" x14ac:dyDescent="0.3">
      <c r="A138" s="122">
        <v>72</v>
      </c>
      <c r="B138" s="124" t="s">
        <v>32</v>
      </c>
      <c r="C138" s="124" t="s">
        <v>62</v>
      </c>
      <c r="D138" s="128" t="s">
        <v>43</v>
      </c>
      <c r="E138" s="54" t="s">
        <v>130</v>
      </c>
      <c r="F138" s="54" t="s">
        <v>17</v>
      </c>
      <c r="G138" s="30">
        <f t="shared" si="50"/>
        <v>0</v>
      </c>
      <c r="H138" s="30">
        <f>H139</f>
        <v>0</v>
      </c>
      <c r="I138" s="30">
        <f>I139</f>
        <v>0</v>
      </c>
      <c r="J138" s="30">
        <f>J139</f>
        <v>0</v>
      </c>
      <c r="K138" s="31">
        <f>K139</f>
        <v>0</v>
      </c>
      <c r="L138" s="31">
        <f t="shared" ref="L138:M138" si="85">L139</f>
        <v>0</v>
      </c>
      <c r="M138" s="108">
        <f t="shared" si="85"/>
        <v>0</v>
      </c>
    </row>
    <row r="139" spans="1:15" ht="40.799999999999997" x14ac:dyDescent="0.3">
      <c r="A139" s="122">
        <v>73</v>
      </c>
      <c r="B139" s="124" t="s">
        <v>33</v>
      </c>
      <c r="C139" s="90" t="s">
        <v>62</v>
      </c>
      <c r="D139" s="128" t="s">
        <v>43</v>
      </c>
      <c r="E139" s="131">
        <v>741</v>
      </c>
      <c r="F139" s="54" t="s">
        <v>17</v>
      </c>
      <c r="G139" s="30">
        <f t="shared" si="50"/>
        <v>0</v>
      </c>
      <c r="H139" s="30">
        <v>0</v>
      </c>
      <c r="I139" s="30">
        <v>0</v>
      </c>
      <c r="J139" s="30">
        <v>0</v>
      </c>
      <c r="K139" s="31">
        <v>0</v>
      </c>
      <c r="L139" s="31">
        <v>0</v>
      </c>
      <c r="M139" s="108">
        <v>0</v>
      </c>
    </row>
    <row r="140" spans="1:15" ht="40.799999999999997" x14ac:dyDescent="0.3">
      <c r="A140" s="122">
        <v>74</v>
      </c>
      <c r="B140" s="124" t="s">
        <v>34</v>
      </c>
      <c r="C140" s="90" t="s">
        <v>62</v>
      </c>
      <c r="D140" s="128" t="s">
        <v>43</v>
      </c>
      <c r="E140" s="54" t="s">
        <v>130</v>
      </c>
      <c r="F140" s="54" t="s">
        <v>17</v>
      </c>
      <c r="G140" s="30">
        <f t="shared" si="50"/>
        <v>0</v>
      </c>
      <c r="H140" s="30">
        <f>H141</f>
        <v>0</v>
      </c>
      <c r="I140" s="30">
        <f>I141</f>
        <v>0</v>
      </c>
      <c r="J140" s="30">
        <f>J141</f>
        <v>0</v>
      </c>
      <c r="K140" s="31">
        <f>K141</f>
        <v>0</v>
      </c>
      <c r="L140" s="31">
        <f t="shared" ref="L140:M140" si="86">L141</f>
        <v>0</v>
      </c>
      <c r="M140" s="108">
        <f t="shared" si="86"/>
        <v>0</v>
      </c>
    </row>
    <row r="141" spans="1:15" ht="71.25" customHeight="1" x14ac:dyDescent="0.3">
      <c r="A141" s="122">
        <v>75</v>
      </c>
      <c r="B141" s="124" t="s">
        <v>35</v>
      </c>
      <c r="C141" s="90" t="s">
        <v>62</v>
      </c>
      <c r="D141" s="128" t="s">
        <v>43</v>
      </c>
      <c r="E141" s="131">
        <v>741</v>
      </c>
      <c r="F141" s="54" t="s">
        <v>17</v>
      </c>
      <c r="G141" s="30">
        <f t="shared" si="50"/>
        <v>0</v>
      </c>
      <c r="H141" s="30">
        <v>0</v>
      </c>
      <c r="I141" s="30">
        <v>0</v>
      </c>
      <c r="J141" s="30">
        <v>0</v>
      </c>
      <c r="K141" s="31">
        <v>0</v>
      </c>
      <c r="L141" s="31">
        <v>0</v>
      </c>
      <c r="M141" s="108">
        <v>0</v>
      </c>
    </row>
    <row r="142" spans="1:15" ht="61.2" x14ac:dyDescent="0.3">
      <c r="A142" s="122">
        <v>76</v>
      </c>
      <c r="B142" s="124" t="s">
        <v>36</v>
      </c>
      <c r="C142" s="124" t="s">
        <v>131</v>
      </c>
      <c r="D142" s="128" t="s">
        <v>41</v>
      </c>
      <c r="E142" s="131" t="s">
        <v>17</v>
      </c>
      <c r="F142" s="54" t="s">
        <v>17</v>
      </c>
      <c r="G142" s="30">
        <f t="shared" si="50"/>
        <v>594357.09</v>
      </c>
      <c r="H142" s="30">
        <f>H143+H144+H145+H146+H147</f>
        <v>0</v>
      </c>
      <c r="I142" s="30">
        <v>150995</v>
      </c>
      <c r="J142" s="30">
        <f>J143+J144+J145+J146+J147</f>
        <v>151000</v>
      </c>
      <c r="K142" s="30">
        <f>K143+K144+K145+K146+K147</f>
        <v>141362.09</v>
      </c>
      <c r="L142" s="30">
        <f>L143+L144+L145+L146+L147</f>
        <v>0</v>
      </c>
      <c r="M142" s="64">
        <f>M143+M144+M145+M146+M147</f>
        <v>151000</v>
      </c>
    </row>
    <row r="143" spans="1:15" ht="30.6" x14ac:dyDescent="0.3">
      <c r="A143" s="122">
        <v>77</v>
      </c>
      <c r="B143" s="20" t="s">
        <v>37</v>
      </c>
      <c r="C143" s="124" t="s">
        <v>62</v>
      </c>
      <c r="D143" s="128" t="s">
        <v>43</v>
      </c>
      <c r="E143" s="131">
        <v>741</v>
      </c>
      <c r="F143" s="54" t="s">
        <v>17</v>
      </c>
      <c r="G143" s="30">
        <f t="shared" si="50"/>
        <v>0</v>
      </c>
      <c r="H143" s="30">
        <v>0</v>
      </c>
      <c r="I143" s="30">
        <v>0</v>
      </c>
      <c r="J143" s="30">
        <v>0</v>
      </c>
      <c r="K143" s="31">
        <v>0</v>
      </c>
      <c r="L143" s="31">
        <v>0</v>
      </c>
      <c r="M143" s="108">
        <v>0</v>
      </c>
    </row>
    <row r="144" spans="1:15" ht="40.799999999999997" x14ac:dyDescent="0.3">
      <c r="A144" s="122">
        <v>78</v>
      </c>
      <c r="B144" s="124" t="s">
        <v>38</v>
      </c>
      <c r="C144" s="124" t="s">
        <v>62</v>
      </c>
      <c r="D144" s="128" t="s">
        <v>43</v>
      </c>
      <c r="E144" s="131">
        <v>741</v>
      </c>
      <c r="F144" s="54" t="s">
        <v>17</v>
      </c>
      <c r="G144" s="30">
        <f t="shared" si="50"/>
        <v>0</v>
      </c>
      <c r="H144" s="30">
        <v>0</v>
      </c>
      <c r="I144" s="30">
        <v>0</v>
      </c>
      <c r="J144" s="30">
        <v>0</v>
      </c>
      <c r="K144" s="31">
        <v>0</v>
      </c>
      <c r="L144" s="31">
        <v>0</v>
      </c>
      <c r="M144" s="108">
        <v>0</v>
      </c>
    </row>
    <row r="145" spans="1:13" ht="36" customHeight="1" x14ac:dyDescent="0.3">
      <c r="A145" s="122">
        <v>79</v>
      </c>
      <c r="B145" s="124" t="s">
        <v>39</v>
      </c>
      <c r="C145" s="124" t="s">
        <v>62</v>
      </c>
      <c r="D145" s="128" t="s">
        <v>43</v>
      </c>
      <c r="E145" s="54" t="s">
        <v>130</v>
      </c>
      <c r="F145" s="54" t="s">
        <v>17</v>
      </c>
      <c r="G145" s="30">
        <f t="shared" si="50"/>
        <v>0</v>
      </c>
      <c r="H145" s="30">
        <v>0</v>
      </c>
      <c r="I145" s="30">
        <v>0</v>
      </c>
      <c r="J145" s="30">
        <v>0</v>
      </c>
      <c r="K145" s="31">
        <v>0</v>
      </c>
      <c r="L145" s="31">
        <v>0</v>
      </c>
      <c r="M145" s="108">
        <v>0</v>
      </c>
    </row>
    <row r="146" spans="1:13" ht="30.6" x14ac:dyDescent="0.3">
      <c r="A146" s="122">
        <v>80</v>
      </c>
      <c r="B146" s="124" t="s">
        <v>48</v>
      </c>
      <c r="C146" s="124" t="s">
        <v>62</v>
      </c>
      <c r="D146" s="128" t="s">
        <v>43</v>
      </c>
      <c r="E146" s="54" t="s">
        <v>130</v>
      </c>
      <c r="F146" s="54" t="s">
        <v>17</v>
      </c>
      <c r="G146" s="30">
        <f t="shared" si="50"/>
        <v>0</v>
      </c>
      <c r="H146" s="30">
        <v>0</v>
      </c>
      <c r="I146" s="30">
        <v>0</v>
      </c>
      <c r="J146" s="30">
        <v>0</v>
      </c>
      <c r="K146" s="31">
        <v>0</v>
      </c>
      <c r="L146" s="31">
        <v>0</v>
      </c>
      <c r="M146" s="108">
        <v>0</v>
      </c>
    </row>
    <row r="147" spans="1:13" ht="30.6" x14ac:dyDescent="0.3">
      <c r="A147" s="122">
        <v>81</v>
      </c>
      <c r="B147" s="124" t="s">
        <v>40</v>
      </c>
      <c r="C147" s="124" t="s">
        <v>46</v>
      </c>
      <c r="D147" s="128" t="s">
        <v>146</v>
      </c>
      <c r="E147" s="131">
        <v>739</v>
      </c>
      <c r="F147" s="54" t="s">
        <v>113</v>
      </c>
      <c r="G147" s="30">
        <f t="shared" si="50"/>
        <v>594357.09</v>
      </c>
      <c r="H147" s="30">
        <v>0</v>
      </c>
      <c r="I147" s="30">
        <v>150995</v>
      </c>
      <c r="J147" s="30">
        <v>151000</v>
      </c>
      <c r="K147" s="31">
        <v>141362.09</v>
      </c>
      <c r="L147" s="31">
        <f>151000-151000</f>
        <v>0</v>
      </c>
      <c r="M147" s="108">
        <v>151000</v>
      </c>
    </row>
    <row r="148" spans="1:13" ht="17.25" customHeight="1" x14ac:dyDescent="0.3">
      <c r="A148" s="164">
        <v>82</v>
      </c>
      <c r="B148" s="179" t="s">
        <v>117</v>
      </c>
      <c r="C148" s="170" t="s">
        <v>118</v>
      </c>
      <c r="D148" s="127" t="s">
        <v>1</v>
      </c>
      <c r="E148" s="131">
        <v>706</v>
      </c>
      <c r="F148" s="54" t="s">
        <v>17</v>
      </c>
      <c r="G148" s="30">
        <f t="shared" si="50"/>
        <v>222677318.04000002</v>
      </c>
      <c r="H148" s="30">
        <f>H156</f>
        <v>0</v>
      </c>
      <c r="I148" s="30">
        <f t="shared" ref="I148:J148" si="87">I156</f>
        <v>0</v>
      </c>
      <c r="J148" s="30">
        <f t="shared" si="87"/>
        <v>0</v>
      </c>
      <c r="K148" s="30">
        <f>K149+K150+K151</f>
        <v>66490054.019999996</v>
      </c>
      <c r="L148" s="30">
        <f t="shared" ref="L148:M148" si="88">L149+L150+L151</f>
        <v>66490054.019999996</v>
      </c>
      <c r="M148" s="64">
        <f t="shared" si="88"/>
        <v>89697210.000000015</v>
      </c>
    </row>
    <row r="149" spans="1:13" ht="21.75" customHeight="1" x14ac:dyDescent="0.3">
      <c r="A149" s="165"/>
      <c r="B149" s="180"/>
      <c r="C149" s="171"/>
      <c r="D149" s="127" t="s">
        <v>119</v>
      </c>
      <c r="E149" s="131">
        <v>706</v>
      </c>
      <c r="F149" s="54" t="s">
        <v>17</v>
      </c>
      <c r="G149" s="30">
        <f t="shared" si="50"/>
        <v>196049982.30000001</v>
      </c>
      <c r="H149" s="30">
        <f t="shared" ref="H149:J151" si="89">H157</f>
        <v>0</v>
      </c>
      <c r="I149" s="30">
        <f t="shared" si="89"/>
        <v>0</v>
      </c>
      <c r="J149" s="30">
        <f t="shared" si="89"/>
        <v>0</v>
      </c>
      <c r="K149" s="30">
        <f>K153</f>
        <v>54521844.299999997</v>
      </c>
      <c r="L149" s="30">
        <f t="shared" ref="L149:M151" si="90">L153</f>
        <v>54521844.299999997</v>
      </c>
      <c r="M149" s="64">
        <f t="shared" si="90"/>
        <v>87006293.700000003</v>
      </c>
    </row>
    <row r="150" spans="1:13" ht="21.75" customHeight="1" x14ac:dyDescent="0.3">
      <c r="A150" s="165"/>
      <c r="B150" s="180"/>
      <c r="C150" s="171"/>
      <c r="D150" s="127" t="s">
        <v>13</v>
      </c>
      <c r="E150" s="131">
        <v>706</v>
      </c>
      <c r="F150" s="54" t="s">
        <v>17</v>
      </c>
      <c r="G150" s="30">
        <f t="shared" si="50"/>
        <v>18632872.189999998</v>
      </c>
      <c r="H150" s="30">
        <f t="shared" si="89"/>
        <v>0</v>
      </c>
      <c r="I150" s="30">
        <f t="shared" si="89"/>
        <v>0</v>
      </c>
      <c r="J150" s="30">
        <f t="shared" si="89"/>
        <v>0</v>
      </c>
      <c r="K150" s="30">
        <f>K154</f>
        <v>11303309.18</v>
      </c>
      <c r="L150" s="30">
        <f t="shared" si="90"/>
        <v>5984104.8600000003</v>
      </c>
      <c r="M150" s="64">
        <f t="shared" si="90"/>
        <v>1345458.15</v>
      </c>
    </row>
    <row r="151" spans="1:13" ht="33.75" customHeight="1" x14ac:dyDescent="0.3">
      <c r="A151" s="166"/>
      <c r="B151" s="180"/>
      <c r="C151" s="171"/>
      <c r="D151" s="127" t="s">
        <v>146</v>
      </c>
      <c r="E151" s="131">
        <v>706</v>
      </c>
      <c r="F151" s="54" t="s">
        <v>17</v>
      </c>
      <c r="G151" s="30">
        <f t="shared" si="50"/>
        <v>7994463.5500000007</v>
      </c>
      <c r="H151" s="30">
        <f t="shared" si="89"/>
        <v>0</v>
      </c>
      <c r="I151" s="30">
        <f t="shared" si="89"/>
        <v>0</v>
      </c>
      <c r="J151" s="30">
        <f t="shared" si="89"/>
        <v>0</v>
      </c>
      <c r="K151" s="30">
        <f>K155</f>
        <v>664900.54</v>
      </c>
      <c r="L151" s="30">
        <f t="shared" si="90"/>
        <v>5984104.8600000003</v>
      </c>
      <c r="M151" s="64">
        <f t="shared" si="90"/>
        <v>1345458.15</v>
      </c>
    </row>
    <row r="152" spans="1:13" ht="18" customHeight="1" x14ac:dyDescent="0.3">
      <c r="A152" s="164">
        <v>83</v>
      </c>
      <c r="B152" s="167" t="s">
        <v>114</v>
      </c>
      <c r="C152" s="170" t="s">
        <v>118</v>
      </c>
      <c r="D152" s="127" t="s">
        <v>1</v>
      </c>
      <c r="E152" s="131">
        <v>706</v>
      </c>
      <c r="F152" s="54" t="s">
        <v>17</v>
      </c>
      <c r="G152" s="30">
        <f t="shared" si="50"/>
        <v>222677318.04000002</v>
      </c>
      <c r="H152" s="30">
        <f t="shared" ref="H152:J159" si="91">H156</f>
        <v>0</v>
      </c>
      <c r="I152" s="30">
        <f t="shared" si="91"/>
        <v>0</v>
      </c>
      <c r="J152" s="30">
        <f t="shared" si="91"/>
        <v>0</v>
      </c>
      <c r="K152" s="30">
        <f>K153+K154+K155</f>
        <v>66490054.019999996</v>
      </c>
      <c r="L152" s="30">
        <f t="shared" ref="L152:M152" si="92">L153+L154+L155</f>
        <v>66490054.019999996</v>
      </c>
      <c r="M152" s="64">
        <f t="shared" si="92"/>
        <v>89697210.000000015</v>
      </c>
    </row>
    <row r="153" spans="1:13" ht="20.399999999999999" x14ac:dyDescent="0.3">
      <c r="A153" s="165"/>
      <c r="B153" s="168"/>
      <c r="C153" s="171"/>
      <c r="D153" s="127" t="s">
        <v>119</v>
      </c>
      <c r="E153" s="131">
        <v>706</v>
      </c>
      <c r="F153" s="54" t="s">
        <v>17</v>
      </c>
      <c r="G153" s="30">
        <f t="shared" si="50"/>
        <v>196049982.30000001</v>
      </c>
      <c r="H153" s="30">
        <f t="shared" si="91"/>
        <v>0</v>
      </c>
      <c r="I153" s="30">
        <f t="shared" si="91"/>
        <v>0</v>
      </c>
      <c r="J153" s="30">
        <f t="shared" si="91"/>
        <v>0</v>
      </c>
      <c r="K153" s="30">
        <f>K157</f>
        <v>54521844.299999997</v>
      </c>
      <c r="L153" s="30">
        <f t="shared" ref="L153:M155" si="93">L157</f>
        <v>54521844.299999997</v>
      </c>
      <c r="M153" s="64">
        <f t="shared" si="93"/>
        <v>87006293.700000003</v>
      </c>
    </row>
    <row r="154" spans="1:13" x14ac:dyDescent="0.3">
      <c r="A154" s="165"/>
      <c r="B154" s="168"/>
      <c r="C154" s="171"/>
      <c r="D154" s="127" t="s">
        <v>13</v>
      </c>
      <c r="E154" s="131">
        <v>706</v>
      </c>
      <c r="F154" s="54" t="s">
        <v>17</v>
      </c>
      <c r="G154" s="30">
        <f t="shared" si="50"/>
        <v>18632872.189999998</v>
      </c>
      <c r="H154" s="30">
        <f t="shared" si="91"/>
        <v>0</v>
      </c>
      <c r="I154" s="30">
        <f t="shared" si="91"/>
        <v>0</v>
      </c>
      <c r="J154" s="30">
        <f t="shared" si="91"/>
        <v>0</v>
      </c>
      <c r="K154" s="30">
        <f>K158</f>
        <v>11303309.18</v>
      </c>
      <c r="L154" s="30">
        <f t="shared" si="93"/>
        <v>5984104.8600000003</v>
      </c>
      <c r="M154" s="64">
        <f t="shared" si="93"/>
        <v>1345458.15</v>
      </c>
    </row>
    <row r="155" spans="1:13" ht="30.6" x14ac:dyDescent="0.3">
      <c r="A155" s="166"/>
      <c r="B155" s="169"/>
      <c r="C155" s="172"/>
      <c r="D155" s="127" t="s">
        <v>146</v>
      </c>
      <c r="E155" s="131">
        <v>706</v>
      </c>
      <c r="F155" s="54" t="s">
        <v>17</v>
      </c>
      <c r="G155" s="30">
        <f t="shared" si="50"/>
        <v>7994463.5500000007</v>
      </c>
      <c r="H155" s="30">
        <f t="shared" si="91"/>
        <v>0</v>
      </c>
      <c r="I155" s="30">
        <f t="shared" si="91"/>
        <v>0</v>
      </c>
      <c r="J155" s="30">
        <f t="shared" si="91"/>
        <v>0</v>
      </c>
      <c r="K155" s="30">
        <f>K159</f>
        <v>664900.54</v>
      </c>
      <c r="L155" s="30">
        <f t="shared" si="93"/>
        <v>5984104.8600000003</v>
      </c>
      <c r="M155" s="64">
        <f t="shared" si="93"/>
        <v>1345458.15</v>
      </c>
    </row>
    <row r="156" spans="1:13" ht="15" customHeight="1" x14ac:dyDescent="0.3">
      <c r="A156" s="164">
        <v>84</v>
      </c>
      <c r="B156" s="167" t="s">
        <v>115</v>
      </c>
      <c r="C156" s="170" t="s">
        <v>118</v>
      </c>
      <c r="D156" s="127" t="s">
        <v>1</v>
      </c>
      <c r="E156" s="131">
        <v>706</v>
      </c>
      <c r="F156" s="54" t="s">
        <v>17</v>
      </c>
      <c r="G156" s="30">
        <f t="shared" si="50"/>
        <v>222677318.04000002</v>
      </c>
      <c r="H156" s="30">
        <f>H160</f>
        <v>0</v>
      </c>
      <c r="I156" s="30">
        <f t="shared" si="91"/>
        <v>0</v>
      </c>
      <c r="J156" s="30">
        <f t="shared" si="91"/>
        <v>0</v>
      </c>
      <c r="K156" s="30">
        <f>K157+K158+K159</f>
        <v>66490054.019999996</v>
      </c>
      <c r="L156" s="30">
        <f t="shared" ref="L156:M156" si="94">L157+L158+L159</f>
        <v>66490054.019999996</v>
      </c>
      <c r="M156" s="64">
        <f t="shared" si="94"/>
        <v>89697210.000000015</v>
      </c>
    </row>
    <row r="157" spans="1:13" ht="20.399999999999999" x14ac:dyDescent="0.3">
      <c r="A157" s="165"/>
      <c r="B157" s="168"/>
      <c r="C157" s="171"/>
      <c r="D157" s="127" t="s">
        <v>119</v>
      </c>
      <c r="E157" s="131">
        <v>706</v>
      </c>
      <c r="F157" s="54" t="s">
        <v>17</v>
      </c>
      <c r="G157" s="30">
        <f t="shared" si="50"/>
        <v>196049982.30000001</v>
      </c>
      <c r="H157" s="30">
        <f t="shared" ref="H157:H159" si="95">H161</f>
        <v>0</v>
      </c>
      <c r="I157" s="30">
        <f t="shared" si="91"/>
        <v>0</v>
      </c>
      <c r="J157" s="30">
        <f t="shared" si="91"/>
        <v>0</v>
      </c>
      <c r="K157" s="30">
        <f>K161</f>
        <v>54521844.299999997</v>
      </c>
      <c r="L157" s="30">
        <f t="shared" ref="L157" si="96">L161</f>
        <v>54521844.299999997</v>
      </c>
      <c r="M157" s="64">
        <f>M161+M165</f>
        <v>87006293.700000003</v>
      </c>
    </row>
    <row r="158" spans="1:13" x14ac:dyDescent="0.3">
      <c r="A158" s="165"/>
      <c r="B158" s="168"/>
      <c r="C158" s="171"/>
      <c r="D158" s="127" t="s">
        <v>13</v>
      </c>
      <c r="E158" s="131">
        <v>706</v>
      </c>
      <c r="F158" s="54" t="s">
        <v>17</v>
      </c>
      <c r="G158" s="30">
        <f t="shared" si="50"/>
        <v>18632872.189999998</v>
      </c>
      <c r="H158" s="30">
        <f t="shared" si="95"/>
        <v>0</v>
      </c>
      <c r="I158" s="30">
        <f t="shared" si="91"/>
        <v>0</v>
      </c>
      <c r="J158" s="30">
        <f t="shared" si="91"/>
        <v>0</v>
      </c>
      <c r="K158" s="30">
        <f>K162</f>
        <v>11303309.18</v>
      </c>
      <c r="L158" s="30">
        <f>L162</f>
        <v>5984104.8600000003</v>
      </c>
      <c r="M158" s="64">
        <f t="shared" ref="M158:M159" si="97">M162+M166</f>
        <v>1345458.15</v>
      </c>
    </row>
    <row r="159" spans="1:13" ht="30.6" x14ac:dyDescent="0.3">
      <c r="A159" s="166"/>
      <c r="B159" s="169"/>
      <c r="C159" s="172"/>
      <c r="D159" s="127" t="s">
        <v>146</v>
      </c>
      <c r="E159" s="131">
        <v>706</v>
      </c>
      <c r="F159" s="54" t="s">
        <v>17</v>
      </c>
      <c r="G159" s="30">
        <f t="shared" si="50"/>
        <v>7994463.5500000007</v>
      </c>
      <c r="H159" s="30">
        <f t="shared" si="95"/>
        <v>0</v>
      </c>
      <c r="I159" s="30">
        <f t="shared" si="91"/>
        <v>0</v>
      </c>
      <c r="J159" s="30">
        <f t="shared" si="91"/>
        <v>0</v>
      </c>
      <c r="K159" s="30">
        <f>K163</f>
        <v>664900.54</v>
      </c>
      <c r="L159" s="30">
        <f>L163</f>
        <v>5984104.8600000003</v>
      </c>
      <c r="M159" s="64">
        <f t="shared" si="97"/>
        <v>1345458.15</v>
      </c>
    </row>
    <row r="160" spans="1:13" ht="16.5" customHeight="1" x14ac:dyDescent="0.3">
      <c r="A160" s="164">
        <v>85</v>
      </c>
      <c r="B160" s="167" t="s">
        <v>124</v>
      </c>
      <c r="C160" s="170" t="s">
        <v>118</v>
      </c>
      <c r="D160" s="127" t="s">
        <v>1</v>
      </c>
      <c r="E160" s="131">
        <v>706</v>
      </c>
      <c r="F160" s="54" t="s">
        <v>100</v>
      </c>
      <c r="G160" s="30">
        <f t="shared" si="50"/>
        <v>132980108.03999999</v>
      </c>
      <c r="H160" s="30">
        <f>H161+H162+H163</f>
        <v>0</v>
      </c>
      <c r="I160" s="30">
        <f t="shared" ref="I160:M160" si="98">I161+I162+I163</f>
        <v>0</v>
      </c>
      <c r="J160" s="30">
        <f t="shared" si="98"/>
        <v>0</v>
      </c>
      <c r="K160" s="30">
        <f t="shared" si="98"/>
        <v>66490054.019999996</v>
      </c>
      <c r="L160" s="30">
        <f t="shared" si="98"/>
        <v>66490054.019999996</v>
      </c>
      <c r="M160" s="64">
        <f t="shared" si="98"/>
        <v>0</v>
      </c>
    </row>
    <row r="161" spans="1:15" ht="20.399999999999999" x14ac:dyDescent="0.3">
      <c r="A161" s="165"/>
      <c r="B161" s="168"/>
      <c r="C161" s="171"/>
      <c r="D161" s="127" t="s">
        <v>119</v>
      </c>
      <c r="E161" s="131">
        <v>706</v>
      </c>
      <c r="F161" s="54" t="s">
        <v>100</v>
      </c>
      <c r="G161" s="30">
        <f t="shared" si="50"/>
        <v>109043688.59999999</v>
      </c>
      <c r="H161" s="30">
        <v>0</v>
      </c>
      <c r="I161" s="30">
        <v>0</v>
      </c>
      <c r="J161" s="30">
        <v>0</v>
      </c>
      <c r="K161" s="31">
        <v>54521844.299999997</v>
      </c>
      <c r="L161" s="31">
        <v>54521844.299999997</v>
      </c>
      <c r="M161" s="108">
        <v>0</v>
      </c>
      <c r="N161" s="82" t="s">
        <v>133</v>
      </c>
    </row>
    <row r="162" spans="1:15" x14ac:dyDescent="0.3">
      <c r="A162" s="165"/>
      <c r="B162" s="168"/>
      <c r="C162" s="171"/>
      <c r="D162" s="127" t="s">
        <v>13</v>
      </c>
      <c r="E162" s="131">
        <v>706</v>
      </c>
      <c r="F162" s="54" t="s">
        <v>100</v>
      </c>
      <c r="G162" s="30">
        <f t="shared" si="50"/>
        <v>17287414.039999999</v>
      </c>
      <c r="H162" s="30">
        <v>0</v>
      </c>
      <c r="I162" s="30">
        <v>0</v>
      </c>
      <c r="J162" s="30">
        <v>0</v>
      </c>
      <c r="K162" s="31">
        <v>11303309.18</v>
      </c>
      <c r="L162" s="30">
        <v>5984104.8600000003</v>
      </c>
      <c r="M162" s="108">
        <v>0</v>
      </c>
      <c r="N162" s="94">
        <v>0.09</v>
      </c>
    </row>
    <row r="163" spans="1:15" ht="30.6" x14ac:dyDescent="0.3">
      <c r="A163" s="166"/>
      <c r="B163" s="169"/>
      <c r="C163" s="172"/>
      <c r="D163" s="127" t="s">
        <v>146</v>
      </c>
      <c r="E163" s="131">
        <v>706</v>
      </c>
      <c r="F163" s="54" t="s">
        <v>100</v>
      </c>
      <c r="G163" s="30">
        <f t="shared" ref="G163:G171" si="99">H163+I163+J163+K163+L163+M163</f>
        <v>6649005.4000000004</v>
      </c>
      <c r="H163" s="30">
        <v>0</v>
      </c>
      <c r="I163" s="30">
        <v>0</v>
      </c>
      <c r="J163" s="30">
        <v>0</v>
      </c>
      <c r="K163" s="31">
        <v>664900.54</v>
      </c>
      <c r="L163" s="30">
        <v>5984104.8600000003</v>
      </c>
      <c r="M163" s="108">
        <v>0</v>
      </c>
      <c r="N163" s="82" t="s">
        <v>135</v>
      </c>
      <c r="O163" s="82"/>
    </row>
    <row r="164" spans="1:15" x14ac:dyDescent="0.3">
      <c r="A164" s="164"/>
      <c r="B164" s="198" t="s">
        <v>174</v>
      </c>
      <c r="C164" s="170" t="s">
        <v>118</v>
      </c>
      <c r="D164" s="127" t="s">
        <v>1</v>
      </c>
      <c r="E164" s="131">
        <v>706</v>
      </c>
      <c r="F164" s="54" t="s">
        <v>100</v>
      </c>
      <c r="G164" s="30">
        <f t="shared" si="50"/>
        <v>89697210.000000015</v>
      </c>
      <c r="H164" s="30">
        <f>H165+H166+H167</f>
        <v>0</v>
      </c>
      <c r="I164" s="30">
        <f t="shared" ref="I164:M164" si="100">I165+I166+I167</f>
        <v>0</v>
      </c>
      <c r="J164" s="30">
        <f t="shared" si="100"/>
        <v>0</v>
      </c>
      <c r="K164" s="30">
        <f t="shared" si="100"/>
        <v>0</v>
      </c>
      <c r="L164" s="30">
        <f t="shared" si="100"/>
        <v>0</v>
      </c>
      <c r="M164" s="64">
        <f t="shared" si="100"/>
        <v>89697210.000000015</v>
      </c>
      <c r="N164" s="82"/>
      <c r="O164" s="82"/>
    </row>
    <row r="165" spans="1:15" ht="20.399999999999999" x14ac:dyDescent="0.3">
      <c r="A165" s="165"/>
      <c r="B165" s="199"/>
      <c r="C165" s="171"/>
      <c r="D165" s="127" t="s">
        <v>119</v>
      </c>
      <c r="E165" s="131">
        <v>706</v>
      </c>
      <c r="F165" s="54" t="s">
        <v>100</v>
      </c>
      <c r="G165" s="30">
        <f t="shared" ref="G165:G166" si="101">H165+I165+J165+K165+L165+M165</f>
        <v>87006293.700000003</v>
      </c>
      <c r="H165" s="30">
        <v>0</v>
      </c>
      <c r="I165" s="30">
        <v>0</v>
      </c>
      <c r="J165" s="30">
        <v>0</v>
      </c>
      <c r="K165" s="30">
        <v>0</v>
      </c>
      <c r="L165" s="30">
        <v>0</v>
      </c>
      <c r="M165" s="108">
        <v>87006293.700000003</v>
      </c>
      <c r="N165" s="82"/>
      <c r="O165" s="82"/>
    </row>
    <row r="166" spans="1:15" x14ac:dyDescent="0.3">
      <c r="A166" s="165"/>
      <c r="B166" s="199"/>
      <c r="C166" s="171"/>
      <c r="D166" s="127" t="s">
        <v>13</v>
      </c>
      <c r="E166" s="131">
        <v>706</v>
      </c>
      <c r="F166" s="54" t="s">
        <v>100</v>
      </c>
      <c r="G166" s="30">
        <f t="shared" si="101"/>
        <v>1345458.15</v>
      </c>
      <c r="H166" s="30">
        <v>0</v>
      </c>
      <c r="I166" s="30">
        <v>0</v>
      </c>
      <c r="J166" s="30">
        <v>0</v>
      </c>
      <c r="K166" s="30">
        <v>0</v>
      </c>
      <c r="L166" s="30">
        <v>0</v>
      </c>
      <c r="M166" s="108">
        <v>1345458.15</v>
      </c>
      <c r="N166" s="82"/>
      <c r="O166" s="82"/>
    </row>
    <row r="167" spans="1:15" ht="32.25" customHeight="1" x14ac:dyDescent="0.3">
      <c r="A167" s="166"/>
      <c r="B167" s="200"/>
      <c r="C167" s="172"/>
      <c r="D167" s="127" t="s">
        <v>146</v>
      </c>
      <c r="E167" s="131">
        <v>706</v>
      </c>
      <c r="F167" s="54" t="s">
        <v>100</v>
      </c>
      <c r="G167" s="30">
        <f t="shared" si="99"/>
        <v>1345458.15</v>
      </c>
      <c r="H167" s="30">
        <v>0</v>
      </c>
      <c r="I167" s="30">
        <v>0</v>
      </c>
      <c r="J167" s="30">
        <v>0</v>
      </c>
      <c r="K167" s="30">
        <v>0</v>
      </c>
      <c r="L167" s="30">
        <v>0</v>
      </c>
      <c r="M167" s="108">
        <v>1345458.15</v>
      </c>
      <c r="N167" s="82"/>
      <c r="O167" s="82"/>
    </row>
    <row r="168" spans="1:15" ht="37.5" customHeight="1" x14ac:dyDescent="0.3">
      <c r="A168" s="158">
        <v>86</v>
      </c>
      <c r="B168" s="159" t="s">
        <v>42</v>
      </c>
      <c r="C168" s="160" t="s">
        <v>147</v>
      </c>
      <c r="D168" s="127" t="s">
        <v>1</v>
      </c>
      <c r="E168" s="54" t="s">
        <v>17</v>
      </c>
      <c r="F168" s="54" t="s">
        <v>100</v>
      </c>
      <c r="G168" s="30">
        <f t="shared" si="99"/>
        <v>26721109914.039997</v>
      </c>
      <c r="H168" s="30">
        <f>H169+H170+H171</f>
        <v>3791445870.6199999</v>
      </c>
      <c r="I168" s="30">
        <f t="shared" ref="I168:L168" si="102">I169+I170+I171</f>
        <v>4004499715.1599998</v>
      </c>
      <c r="J168" s="30">
        <f t="shared" si="102"/>
        <v>4346529115.75</v>
      </c>
      <c r="K168" s="30">
        <f t="shared" si="102"/>
        <v>4619958555.25</v>
      </c>
      <c r="L168" s="30">
        <f t="shared" si="102"/>
        <v>4832485805.2300005</v>
      </c>
      <c r="M168" s="64">
        <f>M169+M170+M171</f>
        <v>5126190852.0299997</v>
      </c>
      <c r="N168" s="70"/>
      <c r="O168" s="70"/>
    </row>
    <row r="169" spans="1:15" ht="34.5" customHeight="1" x14ac:dyDescent="0.3">
      <c r="A169" s="158"/>
      <c r="B169" s="159"/>
      <c r="C169" s="160"/>
      <c r="D169" s="127" t="s">
        <v>119</v>
      </c>
      <c r="E169" s="54" t="s">
        <v>17</v>
      </c>
      <c r="F169" s="54" t="s">
        <v>17</v>
      </c>
      <c r="G169" s="30">
        <f t="shared" si="99"/>
        <v>196049982.30000001</v>
      </c>
      <c r="H169" s="30">
        <f t="shared" ref="H169:M171" si="103">H9</f>
        <v>0</v>
      </c>
      <c r="I169" s="30">
        <f t="shared" si="103"/>
        <v>0</v>
      </c>
      <c r="J169" s="30">
        <f t="shared" si="103"/>
        <v>0</v>
      </c>
      <c r="K169" s="30">
        <f t="shared" si="103"/>
        <v>54521844.299999997</v>
      </c>
      <c r="L169" s="30">
        <f t="shared" si="103"/>
        <v>54521844.299999997</v>
      </c>
      <c r="M169" s="64">
        <f t="shared" si="103"/>
        <v>87006293.700000003</v>
      </c>
    </row>
    <row r="170" spans="1:15" ht="31.5" customHeight="1" x14ac:dyDescent="0.3">
      <c r="A170" s="158"/>
      <c r="B170" s="159"/>
      <c r="C170" s="160"/>
      <c r="D170" s="127" t="s">
        <v>13</v>
      </c>
      <c r="E170" s="54" t="s">
        <v>17</v>
      </c>
      <c r="F170" s="54" t="s">
        <v>17</v>
      </c>
      <c r="G170" s="30">
        <f t="shared" si="99"/>
        <v>18475576581.860001</v>
      </c>
      <c r="H170" s="30">
        <f t="shared" si="103"/>
        <v>2585595100</v>
      </c>
      <c r="I170" s="30">
        <f t="shared" si="103"/>
        <v>2709636417.4000001</v>
      </c>
      <c r="J170" s="30">
        <f t="shared" si="103"/>
        <v>3001827490</v>
      </c>
      <c r="K170" s="30">
        <f t="shared" si="103"/>
        <v>3240811342.2399998</v>
      </c>
      <c r="L170" s="30">
        <f t="shared" si="103"/>
        <v>3478657424.0700002</v>
      </c>
      <c r="M170" s="64">
        <f>M10</f>
        <v>3459048808.1500001</v>
      </c>
    </row>
    <row r="171" spans="1:15" ht="49.5" customHeight="1" x14ac:dyDescent="0.3">
      <c r="A171" s="158"/>
      <c r="B171" s="159"/>
      <c r="C171" s="160"/>
      <c r="D171" s="127" t="s">
        <v>146</v>
      </c>
      <c r="E171" s="54" t="s">
        <v>17</v>
      </c>
      <c r="F171" s="54" t="s">
        <v>17</v>
      </c>
      <c r="G171" s="30">
        <f t="shared" si="99"/>
        <v>8049483349.8799992</v>
      </c>
      <c r="H171" s="30">
        <f t="shared" si="103"/>
        <v>1205850770.6199999</v>
      </c>
      <c r="I171" s="30">
        <f t="shared" si="103"/>
        <v>1294863297.7599998</v>
      </c>
      <c r="J171" s="30">
        <f t="shared" si="103"/>
        <v>1344701625.75</v>
      </c>
      <c r="K171" s="30">
        <f t="shared" si="103"/>
        <v>1324625368.7099998</v>
      </c>
      <c r="L171" s="30">
        <f t="shared" si="103"/>
        <v>1299306536.8599999</v>
      </c>
      <c r="M171" s="64">
        <f>M11</f>
        <v>1580135750.1800001</v>
      </c>
      <c r="N171" s="70"/>
    </row>
    <row r="172" spans="1:15" ht="49.5" customHeight="1" x14ac:dyDescent="0.3">
      <c r="A172" s="5"/>
      <c r="B172" s="102"/>
      <c r="C172" s="150"/>
      <c r="D172" s="18"/>
      <c r="E172" s="103"/>
      <c r="F172" s="103"/>
      <c r="G172" s="151"/>
      <c r="H172" s="151"/>
      <c r="I172" s="151"/>
      <c r="J172" s="151"/>
      <c r="K172" s="151"/>
      <c r="L172" s="151"/>
      <c r="M172" s="151"/>
      <c r="N172" s="70"/>
    </row>
    <row r="173" spans="1:15" ht="41.25" customHeight="1" x14ac:dyDescent="0.3">
      <c r="A173" s="8"/>
      <c r="B173" s="96"/>
      <c r="C173" s="161" t="s">
        <v>180</v>
      </c>
      <c r="D173" s="161"/>
      <c r="E173" s="161"/>
      <c r="F173" s="162" t="s">
        <v>170</v>
      </c>
      <c r="G173" s="162"/>
      <c r="H173" s="162"/>
      <c r="I173" s="162"/>
      <c r="J173" s="162"/>
      <c r="L173" s="27"/>
      <c r="M173" s="156"/>
    </row>
    <row r="174" spans="1:15" ht="16.5" customHeight="1" x14ac:dyDescent="0.3">
      <c r="A174" s="8"/>
      <c r="B174" s="95"/>
      <c r="C174" s="95"/>
      <c r="D174" s="95"/>
      <c r="E174" s="2"/>
      <c r="F174" s="162"/>
      <c r="G174" s="162"/>
      <c r="H174" s="162"/>
      <c r="I174" s="162"/>
      <c r="J174" s="162"/>
      <c r="L174" s="27"/>
      <c r="M174" s="156"/>
    </row>
    <row r="175" spans="1:15" ht="20.399999999999999" x14ac:dyDescent="0.3">
      <c r="A175" s="8"/>
      <c r="B175" s="129" t="s">
        <v>145</v>
      </c>
      <c r="C175" s="9"/>
      <c r="D175" s="10"/>
      <c r="E175" s="2"/>
      <c r="F175" s="57"/>
      <c r="G175" s="2"/>
      <c r="H175" s="2"/>
      <c r="I175" s="2"/>
      <c r="J175" s="2"/>
      <c r="L175" s="2"/>
      <c r="M175" s="114"/>
    </row>
    <row r="176" spans="1:15" x14ac:dyDescent="0.3">
      <c r="A176" s="8"/>
      <c r="B176" s="9"/>
      <c r="C176" s="9"/>
      <c r="D176" s="10"/>
      <c r="E176" s="2"/>
      <c r="F176" s="57"/>
      <c r="G176" s="33"/>
      <c r="H176" s="33"/>
      <c r="I176" s="33"/>
      <c r="J176" s="33"/>
      <c r="K176" s="33"/>
      <c r="L176" s="33"/>
      <c r="M176" s="113"/>
    </row>
    <row r="177" spans="1:14" x14ac:dyDescent="0.3">
      <c r="A177" s="8"/>
      <c r="B177" s="132"/>
      <c r="C177" s="132"/>
      <c r="D177" s="10"/>
      <c r="E177" s="2"/>
      <c r="F177" s="57"/>
      <c r="G177" s="33"/>
      <c r="H177" s="33"/>
      <c r="I177" s="33"/>
      <c r="J177" s="33"/>
      <c r="K177" s="33"/>
      <c r="L177" s="33"/>
      <c r="M177" s="113"/>
      <c r="N177" s="33"/>
    </row>
    <row r="178" spans="1:14" x14ac:dyDescent="0.3">
      <c r="A178" s="12"/>
      <c r="B178" s="13"/>
      <c r="C178" s="13"/>
      <c r="D178" s="14"/>
      <c r="E178" s="1"/>
      <c r="F178" s="58"/>
      <c r="G178" s="33"/>
      <c r="H178" s="33"/>
      <c r="I178" s="33"/>
      <c r="J178" s="33"/>
      <c r="K178" s="33"/>
      <c r="L178" s="33"/>
      <c r="M178" s="113"/>
    </row>
    <row r="179" spans="1:14" x14ac:dyDescent="0.3">
      <c r="A179" s="12"/>
      <c r="B179" s="13"/>
      <c r="C179" s="13"/>
      <c r="D179" s="14"/>
      <c r="E179" s="1"/>
      <c r="F179" s="58"/>
      <c r="G179" s="1"/>
      <c r="H179" s="1"/>
      <c r="I179" s="1"/>
      <c r="J179" s="1"/>
      <c r="L179" s="1"/>
      <c r="M179" s="115"/>
    </row>
  </sheetData>
  <sheetProtection formatCells="0" formatColumns="0" formatRows="0" insertColumns="0" insertRows="0" insertHyperlinks="0" deleteColumns="0" deleteRows="0" sort="0" autoFilter="0" pivotTables="0"/>
  <autoFilter ref="A6:L171"/>
  <mergeCells count="97">
    <mergeCell ref="D46:D47"/>
    <mergeCell ref="A160:A163"/>
    <mergeCell ref="B160:B163"/>
    <mergeCell ref="C160:C163"/>
    <mergeCell ref="A102:A114"/>
    <mergeCell ref="B102:B114"/>
    <mergeCell ref="A84:A86"/>
    <mergeCell ref="B84:B86"/>
    <mergeCell ref="C84:C86"/>
    <mergeCell ref="C102:C114"/>
    <mergeCell ref="A148:A151"/>
    <mergeCell ref="B148:B151"/>
    <mergeCell ref="C148:C151"/>
    <mergeCell ref="A94:A96"/>
    <mergeCell ref="B94:B96"/>
    <mergeCell ref="C94:C96"/>
    <mergeCell ref="A168:A171"/>
    <mergeCell ref="B168:B171"/>
    <mergeCell ref="C168:C171"/>
    <mergeCell ref="A152:A155"/>
    <mergeCell ref="B152:B155"/>
    <mergeCell ref="C152:C155"/>
    <mergeCell ref="A156:A159"/>
    <mergeCell ref="B156:B159"/>
    <mergeCell ref="C156:C159"/>
    <mergeCell ref="B164:B167"/>
    <mergeCell ref="A164:A167"/>
    <mergeCell ref="C164:C167"/>
    <mergeCell ref="A99:A101"/>
    <mergeCell ref="B99:B101"/>
    <mergeCell ref="C99:C101"/>
    <mergeCell ref="A72:A74"/>
    <mergeCell ref="B72:B74"/>
    <mergeCell ref="C72:C74"/>
    <mergeCell ref="A69:A71"/>
    <mergeCell ref="B69:B71"/>
    <mergeCell ref="C69:C71"/>
    <mergeCell ref="A61:A63"/>
    <mergeCell ref="B61:B63"/>
    <mergeCell ref="C61:C63"/>
    <mergeCell ref="D65:D66"/>
    <mergeCell ref="F65:F66"/>
    <mergeCell ref="A64:A66"/>
    <mergeCell ref="B64:B66"/>
    <mergeCell ref="C64:C66"/>
    <mergeCell ref="A55:A57"/>
    <mergeCell ref="B55:B57"/>
    <mergeCell ref="C55:C57"/>
    <mergeCell ref="A58:A60"/>
    <mergeCell ref="B58:B60"/>
    <mergeCell ref="C58:C60"/>
    <mergeCell ref="A42:A44"/>
    <mergeCell ref="B42:B44"/>
    <mergeCell ref="C42:C44"/>
    <mergeCell ref="A45:A48"/>
    <mergeCell ref="B45:B48"/>
    <mergeCell ref="C45:C48"/>
    <mergeCell ref="A36:A38"/>
    <mergeCell ref="B36:B38"/>
    <mergeCell ref="C36:C38"/>
    <mergeCell ref="A39:A41"/>
    <mergeCell ref="B39:B41"/>
    <mergeCell ref="C39:C41"/>
    <mergeCell ref="A28:A30"/>
    <mergeCell ref="B28:B30"/>
    <mergeCell ref="C28:C30"/>
    <mergeCell ref="A32:A35"/>
    <mergeCell ref="B32:B35"/>
    <mergeCell ref="C32:C35"/>
    <mergeCell ref="A20:A22"/>
    <mergeCell ref="B20:B22"/>
    <mergeCell ref="C20:C22"/>
    <mergeCell ref="A23:A25"/>
    <mergeCell ref="B23:B25"/>
    <mergeCell ref="C23:C25"/>
    <mergeCell ref="A12:A15"/>
    <mergeCell ref="B12:B15"/>
    <mergeCell ref="C12:C15"/>
    <mergeCell ref="A16:A17"/>
    <mergeCell ref="B16:B17"/>
    <mergeCell ref="C16:C17"/>
    <mergeCell ref="N1:P1"/>
    <mergeCell ref="C173:E173"/>
    <mergeCell ref="F173:J174"/>
    <mergeCell ref="H1:M1"/>
    <mergeCell ref="A3:L3"/>
    <mergeCell ref="J4:L4"/>
    <mergeCell ref="A5:A6"/>
    <mergeCell ref="B5:B6"/>
    <mergeCell ref="C5:C6"/>
    <mergeCell ref="D5:D6"/>
    <mergeCell ref="E5:F5"/>
    <mergeCell ref="G5:M5"/>
    <mergeCell ref="A1:B1"/>
    <mergeCell ref="A8:A11"/>
    <mergeCell ref="B8:B11"/>
    <mergeCell ref="C8:C11"/>
  </mergeCells>
  <pageMargins left="0.82677165354330717" right="0.19685039370078741" top="0.62992125984251968" bottom="0.35433070866141736" header="0.23622047244094491" footer="0.19685039370078741"/>
  <pageSetup paperSize="9" scale="75" orientation="landscape" r:id="rId1"/>
  <headerFooter>
    <oddHeader>&amp;C&amp;P</oddHeader>
  </headerFooter>
  <rowBreaks count="6" manualBreakCount="6">
    <brk id="19" max="12" man="1"/>
    <brk id="41" max="12" man="1"/>
    <brk id="57" max="12" man="1"/>
    <brk id="132" max="12" man="1"/>
    <brk id="144" max="12" man="1"/>
    <brk id="167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49"/>
  <sheetViews>
    <sheetView showGridLines="0" view="pageBreakPreview" zoomScale="130" zoomScaleNormal="130" zoomScaleSheetLayoutView="130" workbookViewId="0">
      <pane xSplit="2" ySplit="6" topLeftCell="C73" activePane="bottomRight" state="frozen"/>
      <selection pane="topRight" activeCell="C1" sqref="C1"/>
      <selection pane="bottomLeft" activeCell="A7" sqref="A7"/>
      <selection pane="bottomRight" activeCell="P74" sqref="P74"/>
    </sheetView>
  </sheetViews>
  <sheetFormatPr defaultColWidth="9.109375" defaultRowHeight="13.8" x14ac:dyDescent="0.3"/>
  <cols>
    <col min="1" max="1" width="3.6640625" style="24" customWidth="1"/>
    <col min="2" max="2" width="32.44140625" style="25" customWidth="1"/>
    <col min="3" max="3" width="13.5546875" style="25" customWidth="1"/>
    <col min="4" max="4" width="12.109375" style="25" customWidth="1"/>
    <col min="5" max="5" width="7.109375" style="26" customWidth="1"/>
    <col min="6" max="6" width="9.88671875" style="59" customWidth="1"/>
    <col min="7" max="7" width="14.109375" style="23" customWidth="1"/>
    <col min="8" max="8" width="12.6640625" style="23" customWidth="1"/>
    <col min="9" max="9" width="12.33203125" style="23" customWidth="1"/>
    <col min="10" max="10" width="12.5546875" style="23" customWidth="1"/>
    <col min="11" max="11" width="12" style="27" customWidth="1"/>
    <col min="12" max="13" width="12.33203125" style="23" customWidth="1"/>
    <col min="14" max="14" width="14.88671875" style="23" bestFit="1" customWidth="1"/>
    <col min="15" max="16384" width="9.109375" style="23"/>
  </cols>
  <sheetData>
    <row r="1" spans="1:14" x14ac:dyDescent="0.3">
      <c r="A1" s="15"/>
      <c r="B1" s="16"/>
      <c r="C1" s="16"/>
      <c r="D1" s="16"/>
      <c r="E1" s="17"/>
      <c r="F1" s="51"/>
      <c r="G1" s="201"/>
      <c r="H1" s="201"/>
      <c r="I1" s="201"/>
      <c r="J1" s="201"/>
      <c r="L1" s="27"/>
      <c r="M1" s="27"/>
    </row>
    <row r="2" spans="1:14" ht="18" customHeight="1" x14ac:dyDescent="0.3">
      <c r="A2" s="15"/>
      <c r="B2" s="3"/>
      <c r="C2" s="3"/>
      <c r="D2" s="3"/>
      <c r="E2" s="4"/>
      <c r="F2" s="52"/>
      <c r="G2" s="190"/>
      <c r="H2" s="190"/>
      <c r="I2" s="190"/>
      <c r="J2" s="190"/>
      <c r="K2" s="190"/>
      <c r="L2" s="190"/>
      <c r="M2" s="79"/>
    </row>
    <row r="3" spans="1:14" ht="12.75" customHeight="1" x14ac:dyDescent="0.3">
      <c r="A3" s="191" t="s">
        <v>9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80"/>
    </row>
    <row r="4" spans="1:14" x14ac:dyDescent="0.3">
      <c r="A4" s="15"/>
      <c r="B4" s="76"/>
      <c r="C4" s="76"/>
      <c r="D4" s="76"/>
      <c r="E4" s="6"/>
      <c r="F4" s="53"/>
      <c r="G4" s="18"/>
      <c r="H4" s="18"/>
      <c r="I4" s="18"/>
      <c r="J4" s="192"/>
      <c r="K4" s="192"/>
      <c r="L4" s="192"/>
      <c r="M4" s="60"/>
    </row>
    <row r="5" spans="1:14" ht="17.25" customHeight="1" x14ac:dyDescent="0.3">
      <c r="A5" s="193" t="s">
        <v>0</v>
      </c>
      <c r="B5" s="194" t="s">
        <v>97</v>
      </c>
      <c r="C5" s="194" t="s">
        <v>2</v>
      </c>
      <c r="D5" s="194" t="s">
        <v>10</v>
      </c>
      <c r="E5" s="193" t="s">
        <v>95</v>
      </c>
      <c r="F5" s="193"/>
      <c r="G5" s="195" t="s">
        <v>44</v>
      </c>
      <c r="H5" s="196"/>
      <c r="I5" s="196"/>
      <c r="J5" s="196"/>
      <c r="K5" s="196"/>
      <c r="L5" s="196"/>
      <c r="M5" s="197"/>
    </row>
    <row r="6" spans="1:14" ht="30.6" x14ac:dyDescent="0.3">
      <c r="A6" s="193"/>
      <c r="B6" s="194"/>
      <c r="C6" s="194"/>
      <c r="D6" s="194"/>
      <c r="E6" s="71" t="s">
        <v>94</v>
      </c>
      <c r="F6" s="54" t="s">
        <v>96</v>
      </c>
      <c r="G6" s="71" t="s">
        <v>11</v>
      </c>
      <c r="H6" s="71" t="s">
        <v>3</v>
      </c>
      <c r="I6" s="71" t="s">
        <v>4</v>
      </c>
      <c r="J6" s="71" t="s">
        <v>5</v>
      </c>
      <c r="K6" s="71" t="s">
        <v>58</v>
      </c>
      <c r="L6" s="71" t="s">
        <v>72</v>
      </c>
      <c r="M6" s="71" t="s">
        <v>122</v>
      </c>
    </row>
    <row r="7" spans="1:14" x14ac:dyDescent="0.3">
      <c r="A7" s="71">
        <v>1</v>
      </c>
      <c r="B7" s="77">
        <v>2</v>
      </c>
      <c r="C7" s="73">
        <v>3</v>
      </c>
      <c r="D7" s="73">
        <v>4</v>
      </c>
      <c r="E7" s="71">
        <v>5</v>
      </c>
      <c r="F7" s="54">
        <v>6</v>
      </c>
      <c r="G7" s="71">
        <v>7</v>
      </c>
      <c r="H7" s="71">
        <v>8</v>
      </c>
      <c r="I7" s="71">
        <v>9</v>
      </c>
      <c r="J7" s="71">
        <v>10</v>
      </c>
      <c r="K7" s="28">
        <v>11</v>
      </c>
      <c r="L7" s="71">
        <v>12</v>
      </c>
      <c r="M7" s="71">
        <v>13</v>
      </c>
    </row>
    <row r="8" spans="1:14" ht="12.75" customHeight="1" x14ac:dyDescent="0.3">
      <c r="A8" s="187">
        <v>1</v>
      </c>
      <c r="B8" s="159" t="s">
        <v>6</v>
      </c>
      <c r="C8" s="188" t="s">
        <v>61</v>
      </c>
      <c r="D8" s="73" t="s">
        <v>12</v>
      </c>
      <c r="E8" s="71" t="s">
        <v>17</v>
      </c>
      <c r="F8" s="54" t="s">
        <v>100</v>
      </c>
      <c r="G8" s="30">
        <f>H8+I8+J8+K8+L8+M8</f>
        <v>27202286390.82</v>
      </c>
      <c r="H8" s="30">
        <f>H9+H10+H11</f>
        <v>3791445870.6199999</v>
      </c>
      <c r="I8" s="30">
        <f t="shared" ref="I8:M8" si="0">I9+I10+I11</f>
        <v>4004499715.1599998</v>
      </c>
      <c r="J8" s="30">
        <f t="shared" si="0"/>
        <v>4265044629</v>
      </c>
      <c r="K8" s="30">
        <f t="shared" si="0"/>
        <v>5123647899.04</v>
      </c>
      <c r="L8" s="30">
        <f t="shared" si="0"/>
        <v>4981669294</v>
      </c>
      <c r="M8" s="30">
        <f t="shared" si="0"/>
        <v>5035978983</v>
      </c>
    </row>
    <row r="9" spans="1:14" ht="21" customHeight="1" x14ac:dyDescent="0.3">
      <c r="A9" s="187"/>
      <c r="B9" s="159"/>
      <c r="C9" s="188"/>
      <c r="D9" s="72" t="s">
        <v>119</v>
      </c>
      <c r="E9" s="71"/>
      <c r="F9" s="54"/>
      <c r="G9" s="30">
        <f t="shared" ref="G9:G72" si="1">H9+I9+J9+K9+L9+M9</f>
        <v>109043688.59999999</v>
      </c>
      <c r="H9" s="30">
        <f t="shared" ref="H9:M11" si="2">H13</f>
        <v>0</v>
      </c>
      <c r="I9" s="30">
        <f t="shared" si="2"/>
        <v>0</v>
      </c>
      <c r="J9" s="30">
        <f t="shared" si="2"/>
        <v>0</v>
      </c>
      <c r="K9" s="30">
        <f t="shared" si="2"/>
        <v>109043688.59999999</v>
      </c>
      <c r="L9" s="30">
        <f t="shared" si="2"/>
        <v>0</v>
      </c>
      <c r="M9" s="30">
        <f t="shared" si="2"/>
        <v>0</v>
      </c>
    </row>
    <row r="10" spans="1:14" x14ac:dyDescent="0.3">
      <c r="A10" s="187"/>
      <c r="B10" s="159"/>
      <c r="C10" s="188"/>
      <c r="D10" s="73" t="s">
        <v>13</v>
      </c>
      <c r="E10" s="71" t="s">
        <v>17</v>
      </c>
      <c r="F10" s="54" t="s">
        <v>17</v>
      </c>
      <c r="G10" s="30">
        <f t="shared" si="1"/>
        <v>19399755929.84</v>
      </c>
      <c r="H10" s="30">
        <f t="shared" si="2"/>
        <v>2585595100</v>
      </c>
      <c r="I10" s="30">
        <f t="shared" si="2"/>
        <v>2709636417.4000001</v>
      </c>
      <c r="J10" s="30">
        <f t="shared" si="2"/>
        <v>2921008590</v>
      </c>
      <c r="K10" s="30">
        <f t="shared" si="2"/>
        <v>3708358655.4400001</v>
      </c>
      <c r="L10" s="30">
        <f t="shared" si="2"/>
        <v>3710423739</v>
      </c>
      <c r="M10" s="30">
        <f t="shared" si="2"/>
        <v>3764733428</v>
      </c>
      <c r="N10" s="70"/>
    </row>
    <row r="11" spans="1:14" ht="30.6" x14ac:dyDescent="0.3">
      <c r="A11" s="187"/>
      <c r="B11" s="159"/>
      <c r="C11" s="188"/>
      <c r="D11" s="73" t="s">
        <v>41</v>
      </c>
      <c r="E11" s="71" t="s">
        <v>17</v>
      </c>
      <c r="F11" s="54" t="s">
        <v>17</v>
      </c>
      <c r="G11" s="30">
        <f t="shared" si="1"/>
        <v>7693486772.3799992</v>
      </c>
      <c r="H11" s="30">
        <f>H15</f>
        <v>1205850770.6199999</v>
      </c>
      <c r="I11" s="30">
        <f t="shared" si="2"/>
        <v>1294863297.7599998</v>
      </c>
      <c r="J11" s="30">
        <f t="shared" si="2"/>
        <v>1344036039</v>
      </c>
      <c r="K11" s="66">
        <f t="shared" si="2"/>
        <v>1306245555</v>
      </c>
      <c r="L11" s="66">
        <f t="shared" si="2"/>
        <v>1271245555</v>
      </c>
      <c r="M11" s="66">
        <f t="shared" si="2"/>
        <v>1271245555</v>
      </c>
    </row>
    <row r="12" spans="1:14" ht="12.75" customHeight="1" x14ac:dyDescent="0.3">
      <c r="A12" s="187">
        <v>2</v>
      </c>
      <c r="B12" s="160" t="s">
        <v>51</v>
      </c>
      <c r="C12" s="188" t="s">
        <v>61</v>
      </c>
      <c r="D12" s="73" t="s">
        <v>12</v>
      </c>
      <c r="E12" s="71">
        <v>741</v>
      </c>
      <c r="F12" s="54" t="s">
        <v>17</v>
      </c>
      <c r="G12" s="30">
        <f t="shared" si="1"/>
        <v>27202286390.82</v>
      </c>
      <c r="H12" s="30">
        <f>H13+H14+H15</f>
        <v>3791445870.6199999</v>
      </c>
      <c r="I12" s="30">
        <f t="shared" ref="I12:M12" si="3">I13+I14+I15</f>
        <v>4004499715.1599998</v>
      </c>
      <c r="J12" s="30">
        <f t="shared" si="3"/>
        <v>4265044629</v>
      </c>
      <c r="K12" s="30">
        <f t="shared" si="3"/>
        <v>5123647899.04</v>
      </c>
      <c r="L12" s="30">
        <f t="shared" si="3"/>
        <v>4981669294</v>
      </c>
      <c r="M12" s="30">
        <f t="shared" si="3"/>
        <v>5035978983</v>
      </c>
    </row>
    <row r="13" spans="1:14" ht="23.25" customHeight="1" x14ac:dyDescent="0.3">
      <c r="A13" s="187"/>
      <c r="B13" s="160"/>
      <c r="C13" s="188"/>
      <c r="D13" s="72" t="s">
        <v>119</v>
      </c>
      <c r="E13" s="71"/>
      <c r="F13" s="54"/>
      <c r="G13" s="30">
        <f t="shared" si="1"/>
        <v>109043688.59999999</v>
      </c>
      <c r="H13" s="30">
        <f>H31</f>
        <v>0</v>
      </c>
      <c r="I13" s="30">
        <f t="shared" ref="I13:M13" si="4">I31</f>
        <v>0</v>
      </c>
      <c r="J13" s="30">
        <f t="shared" si="4"/>
        <v>0</v>
      </c>
      <c r="K13" s="30">
        <f t="shared" si="4"/>
        <v>109043688.59999999</v>
      </c>
      <c r="L13" s="30">
        <f t="shared" si="4"/>
        <v>0</v>
      </c>
      <c r="M13" s="30">
        <f t="shared" si="4"/>
        <v>0</v>
      </c>
    </row>
    <row r="14" spans="1:14" x14ac:dyDescent="0.3">
      <c r="A14" s="187"/>
      <c r="B14" s="160"/>
      <c r="C14" s="188"/>
      <c r="D14" s="73" t="s">
        <v>13</v>
      </c>
      <c r="E14" s="71">
        <v>741</v>
      </c>
      <c r="F14" s="54" t="s">
        <v>17</v>
      </c>
      <c r="G14" s="30">
        <f t="shared" si="1"/>
        <v>19399755929.84</v>
      </c>
      <c r="H14" s="30">
        <f>H21+H32</f>
        <v>2585595100</v>
      </c>
      <c r="I14" s="30">
        <f>I21+I24+I32</f>
        <v>2709636417.4000001</v>
      </c>
      <c r="J14" s="30">
        <f t="shared" ref="J14:M14" si="5">J21+J24+J32</f>
        <v>2921008590</v>
      </c>
      <c r="K14" s="30">
        <f t="shared" si="5"/>
        <v>3708358655.4400001</v>
      </c>
      <c r="L14" s="30">
        <f t="shared" si="5"/>
        <v>3710423739</v>
      </c>
      <c r="M14" s="30">
        <f t="shared" si="5"/>
        <v>3764733428</v>
      </c>
    </row>
    <row r="15" spans="1:14" ht="50.25" customHeight="1" x14ac:dyDescent="0.3">
      <c r="A15" s="187"/>
      <c r="B15" s="160"/>
      <c r="C15" s="188"/>
      <c r="D15" s="73" t="s">
        <v>41</v>
      </c>
      <c r="E15" s="71">
        <v>741</v>
      </c>
      <c r="F15" s="54" t="s">
        <v>17</v>
      </c>
      <c r="G15" s="30">
        <f t="shared" si="1"/>
        <v>7693486772.3799992</v>
      </c>
      <c r="H15" s="30">
        <f>H17+H22+H25+H26+H28+H29+H33</f>
        <v>1205850770.6199999</v>
      </c>
      <c r="I15" s="30">
        <f t="shared" ref="I15:M15" si="6">I17+I22+I25+I26+I28+I29+I33</f>
        <v>1294863297.7599998</v>
      </c>
      <c r="J15" s="30">
        <f t="shared" si="6"/>
        <v>1344036039</v>
      </c>
      <c r="K15" s="30">
        <f t="shared" si="6"/>
        <v>1306245555</v>
      </c>
      <c r="L15" s="30">
        <f t="shared" si="6"/>
        <v>1271245555</v>
      </c>
      <c r="M15" s="30">
        <f t="shared" si="6"/>
        <v>1271245555</v>
      </c>
    </row>
    <row r="16" spans="1:14" ht="12.75" customHeight="1" x14ac:dyDescent="0.3">
      <c r="A16" s="187">
        <v>3</v>
      </c>
      <c r="B16" s="160" t="s">
        <v>53</v>
      </c>
      <c r="C16" s="188" t="s">
        <v>62</v>
      </c>
      <c r="D16" s="73" t="s">
        <v>1</v>
      </c>
      <c r="E16" s="71">
        <v>741</v>
      </c>
      <c r="F16" s="54" t="s">
        <v>99</v>
      </c>
      <c r="G16" s="30">
        <f t="shared" si="1"/>
        <v>347731968</v>
      </c>
      <c r="H16" s="30">
        <f>H17</f>
        <v>57929000</v>
      </c>
      <c r="I16" s="30">
        <f t="shared" ref="I16:M17" si="7">I17</f>
        <v>52824000</v>
      </c>
      <c r="J16" s="66">
        <f t="shared" si="7"/>
        <v>55477492</v>
      </c>
      <c r="K16" s="66">
        <f t="shared" si="7"/>
        <v>60500492</v>
      </c>
      <c r="L16" s="66">
        <f t="shared" si="7"/>
        <v>60500492</v>
      </c>
      <c r="M16" s="66">
        <f t="shared" si="7"/>
        <v>60500492</v>
      </c>
    </row>
    <row r="17" spans="1:13" ht="30.6" x14ac:dyDescent="0.3">
      <c r="A17" s="187"/>
      <c r="B17" s="160"/>
      <c r="C17" s="188"/>
      <c r="D17" s="73" t="s">
        <v>41</v>
      </c>
      <c r="E17" s="71">
        <v>741</v>
      </c>
      <c r="F17" s="54" t="s">
        <v>99</v>
      </c>
      <c r="G17" s="30">
        <f t="shared" si="1"/>
        <v>347731968</v>
      </c>
      <c r="H17" s="30">
        <f>H18</f>
        <v>57929000</v>
      </c>
      <c r="I17" s="30">
        <f t="shared" si="7"/>
        <v>52824000</v>
      </c>
      <c r="J17" s="30">
        <f t="shared" si="7"/>
        <v>55477492</v>
      </c>
      <c r="K17" s="30">
        <f t="shared" si="7"/>
        <v>60500492</v>
      </c>
      <c r="L17" s="30">
        <f t="shared" si="7"/>
        <v>60500492</v>
      </c>
      <c r="M17" s="30">
        <f t="shared" si="7"/>
        <v>60500492</v>
      </c>
    </row>
    <row r="18" spans="1:13" ht="51" x14ac:dyDescent="0.3">
      <c r="A18" s="72">
        <v>4</v>
      </c>
      <c r="B18" s="74" t="s">
        <v>47</v>
      </c>
      <c r="C18" s="73" t="s">
        <v>62</v>
      </c>
      <c r="D18" s="73" t="s">
        <v>41</v>
      </c>
      <c r="E18" s="71">
        <v>741</v>
      </c>
      <c r="F18" s="54" t="s">
        <v>99</v>
      </c>
      <c r="G18" s="30">
        <f t="shared" si="1"/>
        <v>347731968</v>
      </c>
      <c r="H18" s="30">
        <f>62814600+100000-3150000-1835600</f>
        <v>57929000</v>
      </c>
      <c r="I18" s="30">
        <f>58532200-603200-605000-4500000</f>
        <v>52824000</v>
      </c>
      <c r="J18" s="30">
        <f>62873811.6-4084338.6+1711019-3523000-1500000</f>
        <v>55477492</v>
      </c>
      <c r="K18" s="30">
        <f>64136523.93-3636031.93</f>
        <v>60500492</v>
      </c>
      <c r="L18" s="30">
        <f>64136523.93-3636031.93</f>
        <v>60500492</v>
      </c>
      <c r="M18" s="30">
        <f>64136523.93-3636031.93</f>
        <v>60500492</v>
      </c>
    </row>
    <row r="19" spans="1:13" ht="40.799999999999997" x14ac:dyDescent="0.3">
      <c r="A19" s="72">
        <v>5</v>
      </c>
      <c r="B19" s="74" t="s">
        <v>54</v>
      </c>
      <c r="C19" s="73" t="s">
        <v>62</v>
      </c>
      <c r="D19" s="73" t="s">
        <v>43</v>
      </c>
      <c r="E19" s="71">
        <v>741</v>
      </c>
      <c r="F19" s="54" t="s">
        <v>17</v>
      </c>
      <c r="G19" s="30">
        <f t="shared" si="1"/>
        <v>0</v>
      </c>
      <c r="H19" s="30">
        <v>0</v>
      </c>
      <c r="I19" s="30">
        <v>0</v>
      </c>
      <c r="J19" s="30">
        <v>0</v>
      </c>
      <c r="K19" s="31">
        <v>0</v>
      </c>
      <c r="L19" s="31">
        <v>0</v>
      </c>
      <c r="M19" s="31">
        <v>0</v>
      </c>
    </row>
    <row r="20" spans="1:13" ht="12.75" customHeight="1" x14ac:dyDescent="0.3">
      <c r="A20" s="187">
        <v>6</v>
      </c>
      <c r="B20" s="160" t="s">
        <v>52</v>
      </c>
      <c r="C20" s="188" t="s">
        <v>61</v>
      </c>
      <c r="D20" s="73" t="s">
        <v>12</v>
      </c>
      <c r="E20" s="71">
        <v>741</v>
      </c>
      <c r="F20" s="54" t="s">
        <v>17</v>
      </c>
      <c r="G20" s="30">
        <f t="shared" si="1"/>
        <v>26127981515.720001</v>
      </c>
      <c r="H20" s="30">
        <f t="shared" ref="H20:M20" si="8">H21+H22</f>
        <v>3594784509.6199999</v>
      </c>
      <c r="I20" s="30">
        <f t="shared" si="8"/>
        <v>3777859702.8999996</v>
      </c>
      <c r="J20" s="30">
        <f t="shared" si="8"/>
        <v>4112244907.1999998</v>
      </c>
      <c r="K20" s="30">
        <f t="shared" si="8"/>
        <v>4868926567</v>
      </c>
      <c r="L20" s="30">
        <f t="shared" si="8"/>
        <v>4859928070</v>
      </c>
      <c r="M20" s="30">
        <f t="shared" si="8"/>
        <v>4914237759</v>
      </c>
    </row>
    <row r="21" spans="1:13" x14ac:dyDescent="0.3">
      <c r="A21" s="187"/>
      <c r="B21" s="160"/>
      <c r="C21" s="188"/>
      <c r="D21" s="73" t="s">
        <v>13</v>
      </c>
      <c r="E21" s="71">
        <v>741</v>
      </c>
      <c r="F21" s="54" t="s">
        <v>17</v>
      </c>
      <c r="G21" s="30">
        <f t="shared" si="1"/>
        <v>19365935893</v>
      </c>
      <c r="H21" s="30">
        <f>H38</f>
        <v>2585595100</v>
      </c>
      <c r="I21" s="30">
        <f t="shared" ref="I21:M22" si="9">I38</f>
        <v>2699752800</v>
      </c>
      <c r="J21" s="30">
        <f t="shared" si="9"/>
        <v>2921008590</v>
      </c>
      <c r="K21" s="30">
        <f t="shared" si="9"/>
        <v>3684422236</v>
      </c>
      <c r="L21" s="30">
        <f t="shared" si="9"/>
        <v>3710423739</v>
      </c>
      <c r="M21" s="30">
        <f t="shared" si="9"/>
        <v>3764733428</v>
      </c>
    </row>
    <row r="22" spans="1:13" ht="30.6" x14ac:dyDescent="0.3">
      <c r="A22" s="187"/>
      <c r="B22" s="160"/>
      <c r="C22" s="188"/>
      <c r="D22" s="73" t="s">
        <v>41</v>
      </c>
      <c r="E22" s="71">
        <v>741</v>
      </c>
      <c r="F22" s="54" t="s">
        <v>17</v>
      </c>
      <c r="G22" s="30">
        <f t="shared" si="1"/>
        <v>6762045622.7200003</v>
      </c>
      <c r="H22" s="30">
        <f>H39</f>
        <v>1009189409.62</v>
      </c>
      <c r="I22" s="30">
        <f t="shared" si="9"/>
        <v>1078106902.8999999</v>
      </c>
      <c r="J22" s="30">
        <f t="shared" si="9"/>
        <v>1191236317.2</v>
      </c>
      <c r="K22" s="30">
        <f t="shared" si="9"/>
        <v>1184504331</v>
      </c>
      <c r="L22" s="30">
        <f t="shared" si="9"/>
        <v>1149504331</v>
      </c>
      <c r="M22" s="30">
        <f t="shared" si="9"/>
        <v>1149504331</v>
      </c>
    </row>
    <row r="23" spans="1:13" ht="39" customHeight="1" x14ac:dyDescent="0.3">
      <c r="A23" s="173">
        <v>7</v>
      </c>
      <c r="B23" s="184" t="s">
        <v>73</v>
      </c>
      <c r="C23" s="176" t="s">
        <v>62</v>
      </c>
      <c r="D23" s="73" t="s">
        <v>12</v>
      </c>
      <c r="E23" s="71">
        <v>741</v>
      </c>
      <c r="F23" s="54" t="s">
        <v>17</v>
      </c>
      <c r="G23" s="30">
        <f t="shared" si="1"/>
        <v>331955694.53000003</v>
      </c>
      <c r="H23" s="30">
        <f>H24+H25</f>
        <v>42401900</v>
      </c>
      <c r="I23" s="30">
        <f t="shared" ref="I23:M23" si="10">I24+I25</f>
        <v>62724066.529999994</v>
      </c>
      <c r="J23" s="30">
        <f t="shared" si="10"/>
        <v>82619932</v>
      </c>
      <c r="K23" s="30">
        <f t="shared" si="10"/>
        <v>48069932</v>
      </c>
      <c r="L23" s="30">
        <f t="shared" si="10"/>
        <v>48069932.000000007</v>
      </c>
      <c r="M23" s="30">
        <f t="shared" si="10"/>
        <v>48069932</v>
      </c>
    </row>
    <row r="24" spans="1:13" x14ac:dyDescent="0.3">
      <c r="A24" s="174"/>
      <c r="B24" s="185"/>
      <c r="C24" s="177"/>
      <c r="D24" s="73" t="s">
        <v>13</v>
      </c>
      <c r="E24" s="71">
        <v>741</v>
      </c>
      <c r="F24" s="54" t="s">
        <v>17</v>
      </c>
      <c r="G24" s="30">
        <f t="shared" si="1"/>
        <v>9883617.4000000004</v>
      </c>
      <c r="H24" s="30">
        <f>H56</f>
        <v>0</v>
      </c>
      <c r="I24" s="30">
        <f t="shared" ref="I24:M24" si="11">I56</f>
        <v>9883617.4000000004</v>
      </c>
      <c r="J24" s="30">
        <f t="shared" si="11"/>
        <v>0</v>
      </c>
      <c r="K24" s="30">
        <f t="shared" si="11"/>
        <v>0</v>
      </c>
      <c r="L24" s="30">
        <f t="shared" si="11"/>
        <v>0</v>
      </c>
      <c r="M24" s="30">
        <f t="shared" si="11"/>
        <v>0</v>
      </c>
    </row>
    <row r="25" spans="1:13" ht="30.6" x14ac:dyDescent="0.3">
      <c r="A25" s="175"/>
      <c r="B25" s="186"/>
      <c r="C25" s="178"/>
      <c r="D25" s="73" t="s">
        <v>41</v>
      </c>
      <c r="E25" s="71">
        <v>741</v>
      </c>
      <c r="F25" s="54" t="s">
        <v>17</v>
      </c>
      <c r="G25" s="30">
        <f t="shared" si="1"/>
        <v>322072077.13</v>
      </c>
      <c r="H25" s="30">
        <f t="shared" ref="H25:M25" si="12">H54</f>
        <v>42401900</v>
      </c>
      <c r="I25" s="30">
        <f t="shared" si="12"/>
        <v>52840449.129999995</v>
      </c>
      <c r="J25" s="30">
        <f t="shared" si="12"/>
        <v>82619932</v>
      </c>
      <c r="K25" s="30">
        <f t="shared" si="12"/>
        <v>48069932</v>
      </c>
      <c r="L25" s="30">
        <f t="shared" si="12"/>
        <v>48069932.000000007</v>
      </c>
      <c r="M25" s="30">
        <f t="shared" si="12"/>
        <v>48069932</v>
      </c>
    </row>
    <row r="26" spans="1:13" ht="51" x14ac:dyDescent="0.3">
      <c r="A26" s="72">
        <v>8</v>
      </c>
      <c r="B26" s="19" t="s">
        <v>74</v>
      </c>
      <c r="C26" s="73" t="s">
        <v>65</v>
      </c>
      <c r="D26" s="73" t="s">
        <v>41</v>
      </c>
      <c r="E26" s="71">
        <v>741</v>
      </c>
      <c r="F26" s="54" t="s">
        <v>17</v>
      </c>
      <c r="G26" s="30">
        <f t="shared" si="1"/>
        <v>180182951.73000002</v>
      </c>
      <c r="H26" s="30">
        <f t="shared" ref="H26:M26" si="13">H71</f>
        <v>83250981</v>
      </c>
      <c r="I26" s="30">
        <f t="shared" si="13"/>
        <v>96931970.730000004</v>
      </c>
      <c r="J26" s="30">
        <f t="shared" si="13"/>
        <v>0</v>
      </c>
      <c r="K26" s="30">
        <f t="shared" si="13"/>
        <v>0</v>
      </c>
      <c r="L26" s="30">
        <f t="shared" si="13"/>
        <v>0</v>
      </c>
      <c r="M26" s="30">
        <f t="shared" si="13"/>
        <v>0</v>
      </c>
    </row>
    <row r="27" spans="1:13" ht="40.799999999999997" x14ac:dyDescent="0.3">
      <c r="A27" s="72">
        <v>9</v>
      </c>
      <c r="B27" s="74" t="s">
        <v>75</v>
      </c>
      <c r="C27" s="73" t="s">
        <v>46</v>
      </c>
      <c r="D27" s="73" t="s">
        <v>43</v>
      </c>
      <c r="E27" s="71">
        <v>741</v>
      </c>
      <c r="F27" s="54" t="s">
        <v>17</v>
      </c>
      <c r="G27" s="30">
        <f t="shared" si="1"/>
        <v>0</v>
      </c>
      <c r="H27" s="30">
        <f>H80</f>
        <v>0</v>
      </c>
      <c r="I27" s="30">
        <f t="shared" ref="I27:M27" si="14">I80</f>
        <v>0</v>
      </c>
      <c r="J27" s="30">
        <f t="shared" si="14"/>
        <v>0</v>
      </c>
      <c r="K27" s="30">
        <f t="shared" si="14"/>
        <v>0</v>
      </c>
      <c r="L27" s="30">
        <f t="shared" si="14"/>
        <v>0</v>
      </c>
      <c r="M27" s="30">
        <f t="shared" si="14"/>
        <v>0</v>
      </c>
    </row>
    <row r="28" spans="1:13" ht="51" x14ac:dyDescent="0.3">
      <c r="A28" s="72">
        <v>10</v>
      </c>
      <c r="B28" s="74" t="s">
        <v>76</v>
      </c>
      <c r="C28" s="73" t="s">
        <v>62</v>
      </c>
      <c r="D28" s="73" t="s">
        <v>41</v>
      </c>
      <c r="E28" s="71">
        <v>741</v>
      </c>
      <c r="F28" s="54" t="s">
        <v>17</v>
      </c>
      <c r="G28" s="30">
        <f t="shared" si="1"/>
        <v>5814740</v>
      </c>
      <c r="H28" s="30">
        <f>H87</f>
        <v>1765980</v>
      </c>
      <c r="I28" s="30">
        <f t="shared" ref="I28:M28" si="15">I87</f>
        <v>1934430</v>
      </c>
      <c r="J28" s="30">
        <f t="shared" si="15"/>
        <v>2114330</v>
      </c>
      <c r="K28" s="30">
        <f t="shared" si="15"/>
        <v>0</v>
      </c>
      <c r="L28" s="30">
        <f t="shared" si="15"/>
        <v>0</v>
      </c>
      <c r="M28" s="30">
        <f t="shared" si="15"/>
        <v>0</v>
      </c>
    </row>
    <row r="29" spans="1:13" ht="61.2" x14ac:dyDescent="0.3">
      <c r="A29" s="72">
        <v>11</v>
      </c>
      <c r="B29" s="74" t="s">
        <v>77</v>
      </c>
      <c r="C29" s="73" t="s">
        <v>62</v>
      </c>
      <c r="D29" s="73" t="s">
        <v>41</v>
      </c>
      <c r="E29" s="71">
        <v>741</v>
      </c>
      <c r="F29" s="54" t="s">
        <v>17</v>
      </c>
      <c r="G29" s="30">
        <f t="shared" si="1"/>
        <v>75639412.799999997</v>
      </c>
      <c r="H29" s="30">
        <f>H90</f>
        <v>11313500</v>
      </c>
      <c r="I29" s="30">
        <f>I90+I106</f>
        <v>12225545</v>
      </c>
      <c r="J29" s="30">
        <f t="shared" ref="J29:M29" si="16">J90+J106</f>
        <v>12587967.800000001</v>
      </c>
      <c r="K29" s="30">
        <f t="shared" si="16"/>
        <v>13170800</v>
      </c>
      <c r="L29" s="30">
        <f t="shared" si="16"/>
        <v>13170800</v>
      </c>
      <c r="M29" s="30">
        <f t="shared" si="16"/>
        <v>13170800</v>
      </c>
    </row>
    <row r="30" spans="1:13" ht="15.75" customHeight="1" x14ac:dyDescent="0.3">
      <c r="A30" s="173">
        <v>12</v>
      </c>
      <c r="B30" s="167" t="s">
        <v>120</v>
      </c>
      <c r="C30" s="176" t="s">
        <v>118</v>
      </c>
      <c r="D30" s="72" t="s">
        <v>1</v>
      </c>
      <c r="E30" s="71">
        <v>706</v>
      </c>
      <c r="F30" s="54" t="s">
        <v>17</v>
      </c>
      <c r="G30" s="30">
        <f t="shared" si="1"/>
        <v>132980108.03999999</v>
      </c>
      <c r="H30" s="30">
        <f>H31+H32+H33</f>
        <v>0</v>
      </c>
      <c r="I30" s="30">
        <f t="shared" ref="I30:M30" si="17">I31+I32+I33</f>
        <v>0</v>
      </c>
      <c r="J30" s="30">
        <f t="shared" si="17"/>
        <v>0</v>
      </c>
      <c r="K30" s="30">
        <f t="shared" si="17"/>
        <v>132980108.03999999</v>
      </c>
      <c r="L30" s="30">
        <f t="shared" si="17"/>
        <v>0</v>
      </c>
      <c r="M30" s="30">
        <f t="shared" si="17"/>
        <v>0</v>
      </c>
    </row>
    <row r="31" spans="1:13" ht="22.5" customHeight="1" x14ac:dyDescent="0.3">
      <c r="A31" s="174"/>
      <c r="B31" s="168"/>
      <c r="C31" s="177"/>
      <c r="D31" s="72" t="s">
        <v>119</v>
      </c>
      <c r="E31" s="71">
        <v>706</v>
      </c>
      <c r="F31" s="54" t="s">
        <v>17</v>
      </c>
      <c r="G31" s="30">
        <f t="shared" si="1"/>
        <v>109043688.59999999</v>
      </c>
      <c r="H31" s="30">
        <f>H123</f>
        <v>0</v>
      </c>
      <c r="I31" s="30">
        <f t="shared" ref="I31:M33" si="18">I123</f>
        <v>0</v>
      </c>
      <c r="J31" s="30">
        <f t="shared" si="18"/>
        <v>0</v>
      </c>
      <c r="K31" s="30">
        <f t="shared" si="18"/>
        <v>109043688.59999999</v>
      </c>
      <c r="L31" s="30">
        <f t="shared" si="18"/>
        <v>0</v>
      </c>
      <c r="M31" s="30">
        <f t="shared" si="18"/>
        <v>0</v>
      </c>
    </row>
    <row r="32" spans="1:13" ht="15.75" customHeight="1" x14ac:dyDescent="0.3">
      <c r="A32" s="174"/>
      <c r="B32" s="168"/>
      <c r="C32" s="177"/>
      <c r="D32" s="72" t="s">
        <v>13</v>
      </c>
      <c r="E32" s="71">
        <v>706</v>
      </c>
      <c r="F32" s="54" t="s">
        <v>17</v>
      </c>
      <c r="G32" s="30">
        <f t="shared" si="1"/>
        <v>23936419.440000001</v>
      </c>
      <c r="H32" s="30">
        <f>H124</f>
        <v>0</v>
      </c>
      <c r="I32" s="30">
        <f t="shared" si="18"/>
        <v>0</v>
      </c>
      <c r="J32" s="30">
        <f t="shared" si="18"/>
        <v>0</v>
      </c>
      <c r="K32" s="30">
        <f t="shared" si="18"/>
        <v>23936419.440000001</v>
      </c>
      <c r="L32" s="30">
        <f t="shared" si="18"/>
        <v>0</v>
      </c>
      <c r="M32" s="30">
        <f t="shared" si="18"/>
        <v>0</v>
      </c>
    </row>
    <row r="33" spans="1:13" ht="35.25" hidden="1" customHeight="1" x14ac:dyDescent="0.3">
      <c r="A33" s="175"/>
      <c r="B33" s="169"/>
      <c r="C33" s="178"/>
      <c r="D33" s="72" t="s">
        <v>41</v>
      </c>
      <c r="E33" s="71"/>
      <c r="F33" s="54"/>
      <c r="G33" s="30">
        <f t="shared" si="1"/>
        <v>0</v>
      </c>
      <c r="H33" s="30">
        <f>H125</f>
        <v>0</v>
      </c>
      <c r="I33" s="30">
        <f t="shared" si="18"/>
        <v>0</v>
      </c>
      <c r="J33" s="30">
        <f t="shared" si="18"/>
        <v>0</v>
      </c>
      <c r="K33" s="30">
        <f t="shared" si="18"/>
        <v>0</v>
      </c>
      <c r="L33" s="30">
        <f t="shared" si="18"/>
        <v>0</v>
      </c>
      <c r="M33" s="30">
        <f t="shared" si="18"/>
        <v>0</v>
      </c>
    </row>
    <row r="34" spans="1:13" ht="12.75" customHeight="1" x14ac:dyDescent="0.3">
      <c r="A34" s="187">
        <v>13</v>
      </c>
      <c r="B34" s="159" t="s">
        <v>14</v>
      </c>
      <c r="C34" s="188" t="s">
        <v>62</v>
      </c>
      <c r="D34" s="73" t="s">
        <v>1</v>
      </c>
      <c r="E34" s="71">
        <v>741</v>
      </c>
      <c r="F34" s="54" t="s">
        <v>101</v>
      </c>
      <c r="G34" s="30">
        <f t="shared" si="1"/>
        <v>26127981515.720001</v>
      </c>
      <c r="H34" s="30">
        <f t="shared" ref="H34:M34" si="19">H35+H36</f>
        <v>3594784509.6199999</v>
      </c>
      <c r="I34" s="30">
        <f t="shared" si="19"/>
        <v>3777859702.8999996</v>
      </c>
      <c r="J34" s="30">
        <f t="shared" si="19"/>
        <v>4112244907.1999998</v>
      </c>
      <c r="K34" s="30">
        <f t="shared" si="19"/>
        <v>4868926567</v>
      </c>
      <c r="L34" s="30">
        <f t="shared" si="19"/>
        <v>4859928070</v>
      </c>
      <c r="M34" s="30">
        <f t="shared" si="19"/>
        <v>4914237759</v>
      </c>
    </row>
    <row r="35" spans="1:13" x14ac:dyDescent="0.3">
      <c r="A35" s="187"/>
      <c r="B35" s="159"/>
      <c r="C35" s="188"/>
      <c r="D35" s="73" t="s">
        <v>13</v>
      </c>
      <c r="E35" s="71">
        <v>741</v>
      </c>
      <c r="F35" s="54" t="s">
        <v>101</v>
      </c>
      <c r="G35" s="30">
        <f t="shared" si="1"/>
        <v>19365935893</v>
      </c>
      <c r="H35" s="30">
        <f t="shared" ref="H35:M36" si="20">H38</f>
        <v>2585595100</v>
      </c>
      <c r="I35" s="30">
        <f t="shared" si="20"/>
        <v>2699752800</v>
      </c>
      <c r="J35" s="30">
        <f t="shared" si="20"/>
        <v>2921008590</v>
      </c>
      <c r="K35" s="30">
        <f t="shared" si="20"/>
        <v>3684422236</v>
      </c>
      <c r="L35" s="30">
        <f t="shared" si="20"/>
        <v>3710423739</v>
      </c>
      <c r="M35" s="30">
        <f t="shared" si="20"/>
        <v>3764733428</v>
      </c>
    </row>
    <row r="36" spans="1:13" ht="30.6" x14ac:dyDescent="0.3">
      <c r="A36" s="187"/>
      <c r="B36" s="159"/>
      <c r="C36" s="188"/>
      <c r="D36" s="73" t="s">
        <v>41</v>
      </c>
      <c r="E36" s="71">
        <v>741</v>
      </c>
      <c r="F36" s="54" t="s">
        <v>101</v>
      </c>
      <c r="G36" s="30">
        <f t="shared" si="1"/>
        <v>6762045622.7200003</v>
      </c>
      <c r="H36" s="30">
        <f t="shared" si="20"/>
        <v>1009189409.62</v>
      </c>
      <c r="I36" s="30">
        <f t="shared" si="20"/>
        <v>1078106902.8999999</v>
      </c>
      <c r="J36" s="30">
        <f t="shared" si="20"/>
        <v>1191236317.2</v>
      </c>
      <c r="K36" s="66">
        <f t="shared" si="20"/>
        <v>1184504331</v>
      </c>
      <c r="L36" s="66">
        <f t="shared" si="20"/>
        <v>1149504331</v>
      </c>
      <c r="M36" s="66">
        <f t="shared" si="20"/>
        <v>1149504331</v>
      </c>
    </row>
    <row r="37" spans="1:13" ht="12.75" customHeight="1" x14ac:dyDescent="0.3">
      <c r="A37" s="187">
        <v>14</v>
      </c>
      <c r="B37" s="160" t="s">
        <v>79</v>
      </c>
      <c r="C37" s="188" t="s">
        <v>61</v>
      </c>
      <c r="D37" s="73" t="s">
        <v>1</v>
      </c>
      <c r="E37" s="71">
        <v>741</v>
      </c>
      <c r="F37" s="54" t="s">
        <v>17</v>
      </c>
      <c r="G37" s="30">
        <f t="shared" si="1"/>
        <v>26127981515.720001</v>
      </c>
      <c r="H37" s="30">
        <f t="shared" ref="H37:M37" si="21">H38+H39</f>
        <v>3594784509.6199999</v>
      </c>
      <c r="I37" s="30">
        <f t="shared" si="21"/>
        <v>3777859702.8999996</v>
      </c>
      <c r="J37" s="30">
        <f t="shared" si="21"/>
        <v>4112244907.1999998</v>
      </c>
      <c r="K37" s="30">
        <f t="shared" si="21"/>
        <v>4868926567</v>
      </c>
      <c r="L37" s="30">
        <f t="shared" si="21"/>
        <v>4859928070</v>
      </c>
      <c r="M37" s="30">
        <f t="shared" si="21"/>
        <v>4914237759</v>
      </c>
    </row>
    <row r="38" spans="1:13" x14ac:dyDescent="0.3">
      <c r="A38" s="187"/>
      <c r="B38" s="160"/>
      <c r="C38" s="188"/>
      <c r="D38" s="73" t="s">
        <v>13</v>
      </c>
      <c r="E38" s="71">
        <v>741</v>
      </c>
      <c r="F38" s="54" t="s">
        <v>17</v>
      </c>
      <c r="G38" s="30">
        <f t="shared" si="1"/>
        <v>19365935893</v>
      </c>
      <c r="H38" s="30">
        <f t="shared" ref="H38:M39" si="22">H41</f>
        <v>2585595100</v>
      </c>
      <c r="I38" s="30">
        <f t="shared" si="22"/>
        <v>2699752800</v>
      </c>
      <c r="J38" s="30">
        <f t="shared" si="22"/>
        <v>2921008590</v>
      </c>
      <c r="K38" s="30">
        <f t="shared" si="22"/>
        <v>3684422236</v>
      </c>
      <c r="L38" s="30">
        <f t="shared" si="22"/>
        <v>3710423739</v>
      </c>
      <c r="M38" s="30">
        <f t="shared" si="22"/>
        <v>3764733428</v>
      </c>
    </row>
    <row r="39" spans="1:13" ht="30.6" x14ac:dyDescent="0.3">
      <c r="A39" s="187"/>
      <c r="B39" s="160"/>
      <c r="C39" s="188"/>
      <c r="D39" s="73" t="s">
        <v>41</v>
      </c>
      <c r="E39" s="71">
        <v>741</v>
      </c>
      <c r="F39" s="54" t="s">
        <v>17</v>
      </c>
      <c r="G39" s="30">
        <f t="shared" si="1"/>
        <v>6762045622.7200003</v>
      </c>
      <c r="H39" s="30">
        <f t="shared" si="22"/>
        <v>1009189409.62</v>
      </c>
      <c r="I39" s="30">
        <f t="shared" si="22"/>
        <v>1078106902.8999999</v>
      </c>
      <c r="J39" s="30">
        <f t="shared" si="22"/>
        <v>1191236317.2</v>
      </c>
      <c r="K39" s="30">
        <f t="shared" si="22"/>
        <v>1184504331</v>
      </c>
      <c r="L39" s="30">
        <f t="shared" si="22"/>
        <v>1149504331</v>
      </c>
      <c r="M39" s="30">
        <f t="shared" si="22"/>
        <v>1149504331</v>
      </c>
    </row>
    <row r="40" spans="1:13" ht="12.75" customHeight="1" x14ac:dyDescent="0.3">
      <c r="A40" s="187">
        <v>15</v>
      </c>
      <c r="B40" s="160" t="s">
        <v>80</v>
      </c>
      <c r="C40" s="188" t="s">
        <v>62</v>
      </c>
      <c r="D40" s="73" t="s">
        <v>1</v>
      </c>
      <c r="E40" s="71">
        <v>741</v>
      </c>
      <c r="F40" s="54" t="s">
        <v>17</v>
      </c>
      <c r="G40" s="30">
        <f t="shared" si="1"/>
        <v>26127981515.720001</v>
      </c>
      <c r="H40" s="30">
        <f t="shared" ref="H40:M40" si="23">H41+H42</f>
        <v>3594784509.6199999</v>
      </c>
      <c r="I40" s="30">
        <f t="shared" si="23"/>
        <v>3777859702.8999996</v>
      </c>
      <c r="J40" s="30">
        <f t="shared" si="23"/>
        <v>4112244907.1999998</v>
      </c>
      <c r="K40" s="30">
        <f t="shared" si="23"/>
        <v>4868926567</v>
      </c>
      <c r="L40" s="30">
        <f t="shared" si="23"/>
        <v>4859928070</v>
      </c>
      <c r="M40" s="30">
        <f t="shared" si="23"/>
        <v>4914237759</v>
      </c>
    </row>
    <row r="41" spans="1:13" x14ac:dyDescent="0.3">
      <c r="A41" s="187"/>
      <c r="B41" s="160"/>
      <c r="C41" s="188"/>
      <c r="D41" s="73" t="s">
        <v>13</v>
      </c>
      <c r="E41" s="71">
        <v>741</v>
      </c>
      <c r="F41" s="54" t="s">
        <v>17</v>
      </c>
      <c r="G41" s="30">
        <f t="shared" si="1"/>
        <v>19365935893</v>
      </c>
      <c r="H41" s="30">
        <f>H44+H51</f>
        <v>2585595100</v>
      </c>
      <c r="I41" s="30">
        <f>I44+I49+I51</f>
        <v>2699752800</v>
      </c>
      <c r="J41" s="30">
        <f t="shared" ref="J41:M41" si="24">J44+J49+J51</f>
        <v>2921008590</v>
      </c>
      <c r="K41" s="30">
        <f t="shared" si="24"/>
        <v>3684422236</v>
      </c>
      <c r="L41" s="30">
        <f t="shared" si="24"/>
        <v>3710423739</v>
      </c>
      <c r="M41" s="30">
        <f t="shared" si="24"/>
        <v>3764733428</v>
      </c>
    </row>
    <row r="42" spans="1:13" ht="54.75" customHeight="1" x14ac:dyDescent="0.3">
      <c r="A42" s="187"/>
      <c r="B42" s="160"/>
      <c r="C42" s="188"/>
      <c r="D42" s="73" t="s">
        <v>41</v>
      </c>
      <c r="E42" s="71">
        <v>741</v>
      </c>
      <c r="F42" s="54" t="s">
        <v>17</v>
      </c>
      <c r="G42" s="30">
        <f t="shared" si="1"/>
        <v>6762045622.7200003</v>
      </c>
      <c r="H42" s="30">
        <f>H45+H46+H47+H48+H49+H50</f>
        <v>1009189409.62</v>
      </c>
      <c r="I42" s="30">
        <f>I45+I46+I47+I48+I50</f>
        <v>1078106902.8999999</v>
      </c>
      <c r="J42" s="30">
        <f t="shared" ref="J42:M42" si="25">J45+J46+J47+J48+J50</f>
        <v>1191236317.2</v>
      </c>
      <c r="K42" s="30">
        <f t="shared" si="25"/>
        <v>1184504331</v>
      </c>
      <c r="L42" s="30">
        <f t="shared" si="25"/>
        <v>1149504331</v>
      </c>
      <c r="M42" s="30">
        <f t="shared" si="25"/>
        <v>1149504331</v>
      </c>
    </row>
    <row r="43" spans="1:13" s="65" customFormat="1" ht="12.75" customHeight="1" x14ac:dyDescent="0.3">
      <c r="A43" s="187">
        <v>16</v>
      </c>
      <c r="B43" s="160" t="s">
        <v>55</v>
      </c>
      <c r="C43" s="188" t="s">
        <v>62</v>
      </c>
      <c r="D43" s="61" t="s">
        <v>1</v>
      </c>
      <c r="E43" s="62">
        <v>741</v>
      </c>
      <c r="F43" s="63" t="s">
        <v>17</v>
      </c>
      <c r="G43" s="64">
        <f t="shared" si="1"/>
        <v>25934799752.119999</v>
      </c>
      <c r="H43" s="64">
        <f t="shared" ref="H43:M43" si="26">H44+H45</f>
        <v>3543863168.8199997</v>
      </c>
      <c r="I43" s="64">
        <f t="shared" si="26"/>
        <v>3738279131.3000002</v>
      </c>
      <c r="J43" s="64">
        <f t="shared" si="26"/>
        <v>4060918963</v>
      </c>
      <c r="K43" s="64">
        <f t="shared" si="26"/>
        <v>4851808598</v>
      </c>
      <c r="L43" s="64">
        <f t="shared" si="26"/>
        <v>4842810101</v>
      </c>
      <c r="M43" s="64">
        <f t="shared" si="26"/>
        <v>4897119790</v>
      </c>
    </row>
    <row r="44" spans="1:13" s="65" customFormat="1" x14ac:dyDescent="0.3">
      <c r="A44" s="187"/>
      <c r="B44" s="160"/>
      <c r="C44" s="188"/>
      <c r="D44" s="61" t="s">
        <v>13</v>
      </c>
      <c r="E44" s="62">
        <v>741</v>
      </c>
      <c r="F44" s="63" t="s">
        <v>102</v>
      </c>
      <c r="G44" s="64">
        <f t="shared" si="1"/>
        <v>19352362693</v>
      </c>
      <c r="H44" s="64">
        <f>2532124600+24888100+28582400</f>
        <v>2585595100</v>
      </c>
      <c r="I44" s="64">
        <f>409386300+1088436400+1093393500+31067100-3065300+8955100+33279500+9201900+2592400+1799600+16880400</f>
        <v>2691926900</v>
      </c>
      <c r="J44" s="64">
        <f>2714606200+55222300+16544100+15287300+44398600+69202790</f>
        <v>2915261290</v>
      </c>
      <c r="K44" s="64">
        <v>3684422236</v>
      </c>
      <c r="L44" s="64">
        <v>3710423739</v>
      </c>
      <c r="M44" s="64">
        <v>3764733428</v>
      </c>
    </row>
    <row r="45" spans="1:13" s="65" customFormat="1" ht="30.6" x14ac:dyDescent="0.3">
      <c r="A45" s="187"/>
      <c r="B45" s="160"/>
      <c r="C45" s="188"/>
      <c r="D45" s="61" t="s">
        <v>41</v>
      </c>
      <c r="E45" s="62">
        <v>741</v>
      </c>
      <c r="F45" s="63" t="s">
        <v>103</v>
      </c>
      <c r="G45" s="64">
        <f t="shared" si="1"/>
        <v>6582437059.1199999</v>
      </c>
      <c r="H45" s="64">
        <f>1100851820-43422600-2132000-25542830-71486321.18</f>
        <v>958268068.81999993</v>
      </c>
      <c r="I45" s="64">
        <f>1069929338-18577106.7-17000000+12000000</f>
        <v>1046352231.3</v>
      </c>
      <c r="J45" s="64">
        <f>1278823157.02-58603394.34-112979206.68+15890306+17004300+16587100-11716267+651678</f>
        <v>1145657673</v>
      </c>
      <c r="K45" s="69">
        <f>685742282.22+18612851.15+127756123.96+428594445+14617438.32+21530862+7618766+10279555+175949416-358315377.65+35000000</f>
        <v>1167386362</v>
      </c>
      <c r="L45" s="69">
        <f>1493591850.04-361205488.04</f>
        <v>1132386362</v>
      </c>
      <c r="M45" s="69">
        <f>1497652980.04-365266618.04</f>
        <v>1132386362</v>
      </c>
    </row>
    <row r="46" spans="1:13" ht="51" x14ac:dyDescent="0.3">
      <c r="A46" s="72">
        <v>17</v>
      </c>
      <c r="B46" s="21" t="s">
        <v>87</v>
      </c>
      <c r="C46" s="73" t="s">
        <v>62</v>
      </c>
      <c r="D46" s="73" t="s">
        <v>41</v>
      </c>
      <c r="E46" s="71">
        <v>741</v>
      </c>
      <c r="F46" s="54" t="s">
        <v>104</v>
      </c>
      <c r="G46" s="30">
        <f t="shared" si="1"/>
        <v>173569160.13999999</v>
      </c>
      <c r="H46" s="30">
        <f>43422600+3090000-3500000+8050000-2622575.66</f>
        <v>48440024.340000004</v>
      </c>
      <c r="I46" s="30">
        <f>14942760+6811911.6+10000000</f>
        <v>31754671.600000001</v>
      </c>
      <c r="J46" s="66">
        <f>28180610-14363000+6966267+582832.2+3000000+19411935+300000+1500000</f>
        <v>45578644.200000003</v>
      </c>
      <c r="K46" s="66">
        <f>111183890-95251950</f>
        <v>15931940</v>
      </c>
      <c r="L46" s="66">
        <f>111183890-95251950</f>
        <v>15931940</v>
      </c>
      <c r="M46" s="66">
        <f>111183890-95251950</f>
        <v>15931940</v>
      </c>
    </row>
    <row r="47" spans="1:13" ht="40.799999999999997" x14ac:dyDescent="0.3">
      <c r="A47" s="72">
        <v>18</v>
      </c>
      <c r="B47" s="21" t="s">
        <v>59</v>
      </c>
      <c r="C47" s="73" t="s">
        <v>61</v>
      </c>
      <c r="D47" s="73" t="s">
        <v>41</v>
      </c>
      <c r="E47" s="71">
        <v>741</v>
      </c>
      <c r="F47" s="54" t="s">
        <v>17</v>
      </c>
      <c r="G47" s="30">
        <f t="shared" si="1"/>
        <v>2399332.46</v>
      </c>
      <c r="H47" s="30">
        <f>2132000+60000+220000-12667.54</f>
        <v>2399332.46</v>
      </c>
      <c r="I47" s="30">
        <v>0</v>
      </c>
      <c r="J47" s="30">
        <v>0</v>
      </c>
      <c r="K47" s="31">
        <v>0</v>
      </c>
      <c r="L47" s="31">
        <v>0</v>
      </c>
      <c r="M47" s="31">
        <v>0</v>
      </c>
    </row>
    <row r="48" spans="1:13" ht="40.799999999999997" x14ac:dyDescent="0.3">
      <c r="A48" s="72">
        <v>19</v>
      </c>
      <c r="B48" s="22" t="s">
        <v>50</v>
      </c>
      <c r="C48" s="73" t="s">
        <v>62</v>
      </c>
      <c r="D48" s="73" t="s">
        <v>41</v>
      </c>
      <c r="E48" s="71">
        <v>741</v>
      </c>
      <c r="F48" s="54" t="s">
        <v>17</v>
      </c>
      <c r="G48" s="30">
        <f t="shared" si="1"/>
        <v>81984</v>
      </c>
      <c r="H48" s="30">
        <f>82520-536</f>
        <v>81984</v>
      </c>
      <c r="I48" s="30">
        <v>0</v>
      </c>
      <c r="J48" s="30">
        <v>0</v>
      </c>
      <c r="K48" s="31">
        <v>0</v>
      </c>
      <c r="L48" s="31">
        <v>0</v>
      </c>
      <c r="M48" s="31">
        <v>0</v>
      </c>
    </row>
    <row r="49" spans="1:13" ht="61.2" hidden="1" x14ac:dyDescent="0.3">
      <c r="A49" s="72">
        <v>19</v>
      </c>
      <c r="B49" s="22" t="s">
        <v>91</v>
      </c>
      <c r="C49" s="73" t="s">
        <v>61</v>
      </c>
      <c r="D49" s="73" t="s">
        <v>92</v>
      </c>
      <c r="E49" s="71">
        <v>741</v>
      </c>
      <c r="F49" s="54" t="s">
        <v>17</v>
      </c>
      <c r="G49" s="30">
        <f t="shared" si="1"/>
        <v>0</v>
      </c>
      <c r="H49" s="30">
        <v>0</v>
      </c>
      <c r="I49" s="30">
        <f>6550000-6550000</f>
        <v>0</v>
      </c>
      <c r="J49" s="30">
        <f>6550000-6550000</f>
        <v>0</v>
      </c>
      <c r="K49" s="30">
        <f>132980108.04-132980108.04</f>
        <v>0</v>
      </c>
      <c r="L49" s="30">
        <f t="shared" ref="L49:M49" si="27">6550000-6550000</f>
        <v>0</v>
      </c>
      <c r="M49" s="30">
        <f t="shared" si="27"/>
        <v>0</v>
      </c>
    </row>
    <row r="50" spans="1:13" ht="40.799999999999997" x14ac:dyDescent="0.3">
      <c r="A50" s="72">
        <v>20</v>
      </c>
      <c r="B50" s="22" t="s">
        <v>67</v>
      </c>
      <c r="C50" s="73" t="s">
        <v>61</v>
      </c>
      <c r="D50" s="73" t="s">
        <v>41</v>
      </c>
      <c r="E50" s="71">
        <v>741</v>
      </c>
      <c r="F50" s="54" t="s">
        <v>105</v>
      </c>
      <c r="G50" s="30">
        <f t="shared" si="1"/>
        <v>3558087</v>
      </c>
      <c r="H50" s="30">
        <v>0</v>
      </c>
      <c r="I50" s="30">
        <f>1186029-1186029</f>
        <v>0</v>
      </c>
      <c r="J50" s="66">
        <f>1970670-784641-1186029</f>
        <v>0</v>
      </c>
      <c r="K50" s="66">
        <f>1762877-576848</f>
        <v>1186029</v>
      </c>
      <c r="L50" s="66">
        <f>1762877-576848</f>
        <v>1186029</v>
      </c>
      <c r="M50" s="66">
        <f>1762877-576848</f>
        <v>1186029</v>
      </c>
    </row>
    <row r="51" spans="1:13" ht="81.599999999999994" x14ac:dyDescent="0.3">
      <c r="A51" s="75">
        <v>21</v>
      </c>
      <c r="B51" s="48" t="s">
        <v>89</v>
      </c>
      <c r="C51" s="73" t="s">
        <v>61</v>
      </c>
      <c r="D51" s="73" t="s">
        <v>13</v>
      </c>
      <c r="E51" s="71">
        <v>741</v>
      </c>
      <c r="F51" s="54" t="s">
        <v>106</v>
      </c>
      <c r="G51" s="30">
        <f t="shared" si="1"/>
        <v>13573200</v>
      </c>
      <c r="H51" s="30">
        <v>0</v>
      </c>
      <c r="I51" s="30">
        <v>7825900</v>
      </c>
      <c r="J51" s="66">
        <f>4455300+1292000</f>
        <v>5747300</v>
      </c>
      <c r="K51" s="30">
        <v>0</v>
      </c>
      <c r="L51" s="30">
        <v>0</v>
      </c>
      <c r="M51" s="30">
        <v>0</v>
      </c>
    </row>
    <row r="52" spans="1:13" ht="12.75" customHeight="1" x14ac:dyDescent="0.3">
      <c r="A52" s="173">
        <v>22</v>
      </c>
      <c r="B52" s="179" t="s">
        <v>15</v>
      </c>
      <c r="C52" s="176" t="s">
        <v>62</v>
      </c>
      <c r="D52" s="73" t="s">
        <v>1</v>
      </c>
      <c r="E52" s="71">
        <v>741</v>
      </c>
      <c r="F52" s="54" t="s">
        <v>107</v>
      </c>
      <c r="G52" s="30">
        <f t="shared" si="1"/>
        <v>331955694.53000003</v>
      </c>
      <c r="H52" s="30">
        <f>H53+H54</f>
        <v>42401900</v>
      </c>
      <c r="I52" s="30">
        <f>I53+I54</f>
        <v>62724066.529999994</v>
      </c>
      <c r="J52" s="30">
        <f t="shared" ref="J52:M52" si="28">J53+J54</f>
        <v>82619932</v>
      </c>
      <c r="K52" s="30">
        <f t="shared" si="28"/>
        <v>48069932</v>
      </c>
      <c r="L52" s="30">
        <f t="shared" si="28"/>
        <v>48069932.000000007</v>
      </c>
      <c r="M52" s="30">
        <f t="shared" si="28"/>
        <v>48069932</v>
      </c>
    </row>
    <row r="53" spans="1:13" ht="12.75" customHeight="1" x14ac:dyDescent="0.3">
      <c r="A53" s="174"/>
      <c r="B53" s="180"/>
      <c r="C53" s="177"/>
      <c r="D53" s="73" t="s">
        <v>13</v>
      </c>
      <c r="E53" s="71">
        <v>741</v>
      </c>
      <c r="F53" s="54" t="s">
        <v>107</v>
      </c>
      <c r="G53" s="30">
        <f t="shared" si="1"/>
        <v>9883617.4000000004</v>
      </c>
      <c r="H53" s="30">
        <f>H56</f>
        <v>0</v>
      </c>
      <c r="I53" s="30">
        <f t="shared" ref="I53:M54" si="29">I56</f>
        <v>9883617.4000000004</v>
      </c>
      <c r="J53" s="30">
        <f t="shared" si="29"/>
        <v>0</v>
      </c>
      <c r="K53" s="30">
        <f t="shared" si="29"/>
        <v>0</v>
      </c>
      <c r="L53" s="30">
        <f t="shared" si="29"/>
        <v>0</v>
      </c>
      <c r="M53" s="30">
        <f t="shared" si="29"/>
        <v>0</v>
      </c>
    </row>
    <row r="54" spans="1:13" ht="78.75" customHeight="1" x14ac:dyDescent="0.3">
      <c r="A54" s="174"/>
      <c r="B54" s="180"/>
      <c r="C54" s="178"/>
      <c r="D54" s="73" t="s">
        <v>41</v>
      </c>
      <c r="E54" s="71">
        <v>741</v>
      </c>
      <c r="F54" s="54" t="s">
        <v>107</v>
      </c>
      <c r="G54" s="30">
        <f t="shared" si="1"/>
        <v>322072077.13</v>
      </c>
      <c r="H54" s="30">
        <f>H57</f>
        <v>42401900</v>
      </c>
      <c r="I54" s="30">
        <f t="shared" si="29"/>
        <v>52840449.129999995</v>
      </c>
      <c r="J54" s="30">
        <f t="shared" si="29"/>
        <v>82619932</v>
      </c>
      <c r="K54" s="30">
        <f t="shared" si="29"/>
        <v>48069932</v>
      </c>
      <c r="L54" s="30">
        <f t="shared" si="29"/>
        <v>48069932.000000007</v>
      </c>
      <c r="M54" s="30">
        <f t="shared" si="29"/>
        <v>48069932</v>
      </c>
    </row>
    <row r="55" spans="1:13" ht="12.75" customHeight="1" x14ac:dyDescent="0.3">
      <c r="A55" s="173">
        <v>23</v>
      </c>
      <c r="B55" s="184" t="s">
        <v>49</v>
      </c>
      <c r="C55" s="176" t="s">
        <v>62</v>
      </c>
      <c r="D55" s="73" t="s">
        <v>1</v>
      </c>
      <c r="E55" s="71">
        <v>741</v>
      </c>
      <c r="F55" s="54" t="s">
        <v>17</v>
      </c>
      <c r="G55" s="30">
        <f t="shared" si="1"/>
        <v>331955694.53000003</v>
      </c>
      <c r="H55" s="30">
        <f>H56+H57</f>
        <v>42401900</v>
      </c>
      <c r="I55" s="30">
        <f t="shared" ref="I55:M55" si="30">I56+I57</f>
        <v>62724066.529999994</v>
      </c>
      <c r="J55" s="30">
        <f t="shared" si="30"/>
        <v>82619932</v>
      </c>
      <c r="K55" s="30">
        <f t="shared" si="30"/>
        <v>48069932</v>
      </c>
      <c r="L55" s="30">
        <f t="shared" si="30"/>
        <v>48069932.000000007</v>
      </c>
      <c r="M55" s="30">
        <f t="shared" si="30"/>
        <v>48069932</v>
      </c>
    </row>
    <row r="56" spans="1:13" x14ac:dyDescent="0.3">
      <c r="A56" s="174"/>
      <c r="B56" s="185"/>
      <c r="C56" s="177"/>
      <c r="D56" s="73" t="s">
        <v>13</v>
      </c>
      <c r="E56" s="71">
        <v>741</v>
      </c>
      <c r="F56" s="54" t="s">
        <v>17</v>
      </c>
      <c r="G56" s="30">
        <f t="shared" si="1"/>
        <v>9883617.4000000004</v>
      </c>
      <c r="H56" s="30">
        <f>H59</f>
        <v>0</v>
      </c>
      <c r="I56" s="30">
        <f t="shared" ref="I56:M57" si="31">I59</f>
        <v>9883617.4000000004</v>
      </c>
      <c r="J56" s="30">
        <f t="shared" si="31"/>
        <v>0</v>
      </c>
      <c r="K56" s="30">
        <f t="shared" si="31"/>
        <v>0</v>
      </c>
      <c r="L56" s="30">
        <f t="shared" si="31"/>
        <v>0</v>
      </c>
      <c r="M56" s="30">
        <f t="shared" si="31"/>
        <v>0</v>
      </c>
    </row>
    <row r="57" spans="1:13" ht="30.6" x14ac:dyDescent="0.3">
      <c r="A57" s="175"/>
      <c r="B57" s="186"/>
      <c r="C57" s="178"/>
      <c r="D57" s="73" t="s">
        <v>41</v>
      </c>
      <c r="E57" s="71">
        <v>741</v>
      </c>
      <c r="F57" s="54" t="s">
        <v>17</v>
      </c>
      <c r="G57" s="30">
        <f t="shared" si="1"/>
        <v>322072077.13</v>
      </c>
      <c r="H57" s="30">
        <f>H60</f>
        <v>42401900</v>
      </c>
      <c r="I57" s="30">
        <f t="shared" si="31"/>
        <v>52840449.129999995</v>
      </c>
      <c r="J57" s="30">
        <f t="shared" si="31"/>
        <v>82619932</v>
      </c>
      <c r="K57" s="30">
        <f t="shared" si="31"/>
        <v>48069932</v>
      </c>
      <c r="L57" s="30">
        <f t="shared" si="31"/>
        <v>48069932.000000007</v>
      </c>
      <c r="M57" s="30">
        <f t="shared" si="31"/>
        <v>48069932</v>
      </c>
    </row>
    <row r="58" spans="1:13" ht="12.75" customHeight="1" x14ac:dyDescent="0.3">
      <c r="A58" s="173">
        <v>24</v>
      </c>
      <c r="B58" s="184" t="s">
        <v>69</v>
      </c>
      <c r="C58" s="176" t="s">
        <v>62</v>
      </c>
      <c r="D58" s="73" t="s">
        <v>1</v>
      </c>
      <c r="E58" s="71">
        <v>741</v>
      </c>
      <c r="F58" s="54" t="s">
        <v>17</v>
      </c>
      <c r="G58" s="30">
        <f t="shared" si="1"/>
        <v>331955694.53000003</v>
      </c>
      <c r="H58" s="30">
        <f>H59+H60</f>
        <v>42401900</v>
      </c>
      <c r="I58" s="30">
        <f t="shared" ref="I58:M58" si="32">I59+I60</f>
        <v>62724066.529999994</v>
      </c>
      <c r="J58" s="30">
        <f t="shared" si="32"/>
        <v>82619932</v>
      </c>
      <c r="K58" s="30">
        <f t="shared" si="32"/>
        <v>48069932</v>
      </c>
      <c r="L58" s="30">
        <f t="shared" si="32"/>
        <v>48069932.000000007</v>
      </c>
      <c r="M58" s="30">
        <f t="shared" si="32"/>
        <v>48069932</v>
      </c>
    </row>
    <row r="59" spans="1:13" x14ac:dyDescent="0.3">
      <c r="A59" s="174"/>
      <c r="B59" s="185"/>
      <c r="C59" s="177"/>
      <c r="D59" s="73" t="s">
        <v>13</v>
      </c>
      <c r="E59" s="71">
        <v>741</v>
      </c>
      <c r="F59" s="54" t="s">
        <v>17</v>
      </c>
      <c r="G59" s="30">
        <f t="shared" si="1"/>
        <v>9883617.4000000004</v>
      </c>
      <c r="H59" s="30">
        <f>H65</f>
        <v>0</v>
      </c>
      <c r="I59" s="30">
        <f>I65+I68</f>
        <v>9883617.4000000004</v>
      </c>
      <c r="J59" s="30">
        <f t="shared" ref="J59:M59" si="33">J65+J68</f>
        <v>0</v>
      </c>
      <c r="K59" s="30">
        <f t="shared" si="33"/>
        <v>0</v>
      </c>
      <c r="L59" s="30">
        <f t="shared" si="33"/>
        <v>0</v>
      </c>
      <c r="M59" s="30">
        <f t="shared" si="33"/>
        <v>0</v>
      </c>
    </row>
    <row r="60" spans="1:13" ht="45.75" customHeight="1" x14ac:dyDescent="0.3">
      <c r="A60" s="175"/>
      <c r="B60" s="186"/>
      <c r="C60" s="178"/>
      <c r="D60" s="73" t="s">
        <v>41</v>
      </c>
      <c r="E60" s="71">
        <v>741</v>
      </c>
      <c r="F60" s="54" t="s">
        <v>17</v>
      </c>
      <c r="G60" s="30">
        <f t="shared" si="1"/>
        <v>322072077.13</v>
      </c>
      <c r="H60" s="30">
        <f>H61+H62+H63+H66+H70</f>
        <v>42401900</v>
      </c>
      <c r="I60" s="30">
        <f t="shared" ref="I60:M60" si="34">I61+I62+I63+I66+I70</f>
        <v>52840449.129999995</v>
      </c>
      <c r="J60" s="30">
        <f t="shared" si="34"/>
        <v>82619932</v>
      </c>
      <c r="K60" s="66">
        <f t="shared" si="34"/>
        <v>48069932</v>
      </c>
      <c r="L60" s="66">
        <f t="shared" si="34"/>
        <v>48069932.000000007</v>
      </c>
      <c r="M60" s="66">
        <f t="shared" si="34"/>
        <v>48069932</v>
      </c>
    </row>
    <row r="61" spans="1:13" s="65" customFormat="1" ht="51" x14ac:dyDescent="0.3">
      <c r="A61" s="67">
        <v>25</v>
      </c>
      <c r="B61" s="68" t="s">
        <v>18</v>
      </c>
      <c r="C61" s="61" t="s">
        <v>62</v>
      </c>
      <c r="D61" s="61" t="s">
        <v>41</v>
      </c>
      <c r="E61" s="62">
        <v>741</v>
      </c>
      <c r="F61" s="63" t="s">
        <v>108</v>
      </c>
      <c r="G61" s="64">
        <f t="shared" si="1"/>
        <v>155787000</v>
      </c>
      <c r="H61" s="64">
        <v>21839500</v>
      </c>
      <c r="I61" s="64">
        <f>16839500+13000000+7000000</f>
        <v>36839500</v>
      </c>
      <c r="J61" s="66">
        <f>16839500+20000000+3000000+4750000+2000000</f>
        <v>46589500</v>
      </c>
      <c r="K61" s="69">
        <f>61018951.86-44179451.86</f>
        <v>16839500</v>
      </c>
      <c r="L61" s="69">
        <f>73006625.43-56167125.43</f>
        <v>16839500.000000007</v>
      </c>
      <c r="M61" s="69">
        <f>96836596.9-79997096.9</f>
        <v>16839500</v>
      </c>
    </row>
    <row r="62" spans="1:13" ht="51" x14ac:dyDescent="0.3">
      <c r="A62" s="81">
        <v>26</v>
      </c>
      <c r="B62" s="74" t="s">
        <v>19</v>
      </c>
      <c r="C62" s="73" t="s">
        <v>62</v>
      </c>
      <c r="D62" s="73" t="s">
        <v>41</v>
      </c>
      <c r="E62" s="71">
        <v>741</v>
      </c>
      <c r="F62" s="54" t="s">
        <v>17</v>
      </c>
      <c r="G62" s="30">
        <f t="shared" si="1"/>
        <v>15200000</v>
      </c>
      <c r="H62" s="30">
        <v>15200000</v>
      </c>
      <c r="I62" s="30">
        <v>0</v>
      </c>
      <c r="J62" s="30">
        <v>0</v>
      </c>
      <c r="K62" s="31">
        <v>0</v>
      </c>
      <c r="L62" s="31">
        <v>0</v>
      </c>
      <c r="M62" s="31">
        <v>0</v>
      </c>
    </row>
    <row r="63" spans="1:13" ht="51" x14ac:dyDescent="0.3">
      <c r="A63" s="81">
        <v>27</v>
      </c>
      <c r="B63" s="74" t="s">
        <v>56</v>
      </c>
      <c r="C63" s="73" t="s">
        <v>62</v>
      </c>
      <c r="D63" s="73" t="s">
        <v>41</v>
      </c>
      <c r="E63" s="71">
        <v>741</v>
      </c>
      <c r="F63" s="54" t="s">
        <v>17</v>
      </c>
      <c r="G63" s="30">
        <f t="shared" si="1"/>
        <v>5362400</v>
      </c>
      <c r="H63" s="30">
        <v>5362400</v>
      </c>
      <c r="I63" s="30">
        <v>0</v>
      </c>
      <c r="J63" s="30">
        <v>0</v>
      </c>
      <c r="K63" s="31">
        <v>0</v>
      </c>
      <c r="L63" s="31">
        <v>0</v>
      </c>
      <c r="M63" s="31">
        <v>0</v>
      </c>
    </row>
    <row r="64" spans="1:13" ht="12.75" hidden="1" customHeight="1" x14ac:dyDescent="0.3">
      <c r="A64" s="164">
        <v>28</v>
      </c>
      <c r="B64" s="167" t="s">
        <v>68</v>
      </c>
      <c r="C64" s="176" t="s">
        <v>62</v>
      </c>
      <c r="D64" s="73" t="s">
        <v>1</v>
      </c>
      <c r="E64" s="71">
        <v>741</v>
      </c>
      <c r="F64" s="54" t="s">
        <v>17</v>
      </c>
      <c r="G64" s="30">
        <f t="shared" si="1"/>
        <v>83730677.129999995</v>
      </c>
      <c r="H64" s="30">
        <f>H65+H66</f>
        <v>0</v>
      </c>
      <c r="I64" s="30">
        <f t="shared" ref="I64:M64" si="35">I65+I66</f>
        <v>16000949.129999999</v>
      </c>
      <c r="J64" s="30">
        <f t="shared" si="35"/>
        <v>20682432</v>
      </c>
      <c r="K64" s="30">
        <f t="shared" si="35"/>
        <v>15682432</v>
      </c>
      <c r="L64" s="30">
        <f t="shared" si="35"/>
        <v>15682432</v>
      </c>
      <c r="M64" s="30">
        <f t="shared" si="35"/>
        <v>15682432</v>
      </c>
    </row>
    <row r="65" spans="1:13" hidden="1" x14ac:dyDescent="0.3">
      <c r="A65" s="165"/>
      <c r="B65" s="168"/>
      <c r="C65" s="177"/>
      <c r="D65" s="73" t="s">
        <v>13</v>
      </c>
      <c r="E65" s="71">
        <v>741</v>
      </c>
      <c r="F65" s="54" t="s">
        <v>17</v>
      </c>
      <c r="G65" s="30">
        <f t="shared" si="1"/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</row>
    <row r="66" spans="1:13" ht="54.75" customHeight="1" x14ac:dyDescent="0.3">
      <c r="A66" s="166"/>
      <c r="B66" s="169"/>
      <c r="C66" s="178"/>
      <c r="D66" s="73" t="s">
        <v>41</v>
      </c>
      <c r="E66" s="71">
        <v>741</v>
      </c>
      <c r="F66" s="54" t="s">
        <v>109</v>
      </c>
      <c r="G66" s="30">
        <f t="shared" si="1"/>
        <v>83730677.129999995</v>
      </c>
      <c r="H66" s="30">
        <v>0</v>
      </c>
      <c r="I66" s="30">
        <f>15682432+3085930-2767412.87</f>
        <v>16000949.129999999</v>
      </c>
      <c r="J66" s="66">
        <f>15682432+5000000</f>
        <v>20682432</v>
      </c>
      <c r="K66" s="66">
        <f>28385237.79-12702805.79</f>
        <v>15682432</v>
      </c>
      <c r="L66" s="66">
        <f>30009272.02-14326840.02</f>
        <v>15682432</v>
      </c>
      <c r="M66" s="66">
        <f>32600822.85-16918390.85</f>
        <v>15682432</v>
      </c>
    </row>
    <row r="67" spans="1:13" x14ac:dyDescent="0.3">
      <c r="A67" s="164">
        <v>29</v>
      </c>
      <c r="B67" s="167" t="s">
        <v>81</v>
      </c>
      <c r="C67" s="176" t="s">
        <v>62</v>
      </c>
      <c r="D67" s="73" t="s">
        <v>1</v>
      </c>
      <c r="E67" s="71">
        <v>741</v>
      </c>
      <c r="F67" s="54" t="s">
        <v>17</v>
      </c>
      <c r="G67" s="30">
        <f t="shared" si="1"/>
        <v>9883617.4000000004</v>
      </c>
      <c r="H67" s="30">
        <f>H68+H69</f>
        <v>0</v>
      </c>
      <c r="I67" s="30">
        <f t="shared" ref="I67:M67" si="36">I68+I69</f>
        <v>9883617.4000000004</v>
      </c>
      <c r="J67" s="30">
        <f t="shared" si="36"/>
        <v>0</v>
      </c>
      <c r="K67" s="30">
        <f t="shared" si="36"/>
        <v>0</v>
      </c>
      <c r="L67" s="30">
        <f t="shared" si="36"/>
        <v>0</v>
      </c>
      <c r="M67" s="30">
        <f t="shared" si="36"/>
        <v>0</v>
      </c>
    </row>
    <row r="68" spans="1:13" ht="96" customHeight="1" x14ac:dyDescent="0.3">
      <c r="A68" s="165"/>
      <c r="B68" s="168"/>
      <c r="C68" s="177"/>
      <c r="D68" s="73" t="s">
        <v>13</v>
      </c>
      <c r="E68" s="71">
        <v>741</v>
      </c>
      <c r="F68" s="54" t="s">
        <v>17</v>
      </c>
      <c r="G68" s="30">
        <f t="shared" si="1"/>
        <v>9883617.4000000004</v>
      </c>
      <c r="H68" s="30">
        <v>0</v>
      </c>
      <c r="I68" s="30">
        <f>2767412.2+7116205.2</f>
        <v>9883617.4000000004</v>
      </c>
      <c r="J68" s="30">
        <v>0</v>
      </c>
      <c r="K68" s="30">
        <v>0</v>
      </c>
      <c r="L68" s="30">
        <v>0</v>
      </c>
      <c r="M68" s="30">
        <v>0</v>
      </c>
    </row>
    <row r="69" spans="1:13" ht="30.6" hidden="1" x14ac:dyDescent="0.3">
      <c r="A69" s="166"/>
      <c r="B69" s="169"/>
      <c r="C69" s="178"/>
      <c r="D69" s="73" t="s">
        <v>41</v>
      </c>
      <c r="E69" s="71" t="s">
        <v>17</v>
      </c>
      <c r="F69" s="54" t="s">
        <v>17</v>
      </c>
      <c r="G69" s="30">
        <f t="shared" si="1"/>
        <v>0</v>
      </c>
      <c r="H69" s="30">
        <v>0</v>
      </c>
      <c r="I69" s="30"/>
      <c r="J69" s="30"/>
      <c r="K69" s="30"/>
      <c r="L69" s="30"/>
      <c r="M69" s="30"/>
    </row>
    <row r="70" spans="1:13" ht="40.799999999999997" x14ac:dyDescent="0.3">
      <c r="A70" s="81">
        <v>30</v>
      </c>
      <c r="B70" s="74" t="s">
        <v>93</v>
      </c>
      <c r="C70" s="73" t="s">
        <v>62</v>
      </c>
      <c r="D70" s="73" t="s">
        <v>41</v>
      </c>
      <c r="E70" s="71">
        <v>741</v>
      </c>
      <c r="F70" s="54" t="s">
        <v>110</v>
      </c>
      <c r="G70" s="30">
        <f t="shared" si="1"/>
        <v>61992000</v>
      </c>
      <c r="H70" s="30">
        <v>0</v>
      </c>
      <c r="I70" s="30">
        <v>0</v>
      </c>
      <c r="J70" s="66">
        <f>15548000-200000</f>
        <v>15348000</v>
      </c>
      <c r="K70" s="66">
        <f>15548000</f>
        <v>15548000</v>
      </c>
      <c r="L70" s="66">
        <f>15548000</f>
        <v>15548000</v>
      </c>
      <c r="M70" s="66">
        <f>15548000</f>
        <v>15548000</v>
      </c>
    </row>
    <row r="71" spans="1:13" s="34" customFormat="1" ht="51" x14ac:dyDescent="0.3">
      <c r="A71" s="81">
        <v>31</v>
      </c>
      <c r="B71" s="36" t="s">
        <v>16</v>
      </c>
      <c r="C71" s="37" t="s">
        <v>65</v>
      </c>
      <c r="D71" s="37" t="s">
        <v>41</v>
      </c>
      <c r="E71" s="71">
        <v>737</v>
      </c>
      <c r="F71" s="55" t="s">
        <v>17</v>
      </c>
      <c r="G71" s="30">
        <f t="shared" si="1"/>
        <v>180182951.73000002</v>
      </c>
      <c r="H71" s="39">
        <f>H72</f>
        <v>83250981</v>
      </c>
      <c r="I71" s="50">
        <f t="shared" ref="H71:M72" si="37">I72</f>
        <v>96931970.730000004</v>
      </c>
      <c r="J71" s="39">
        <f t="shared" si="37"/>
        <v>0</v>
      </c>
      <c r="K71" s="39">
        <f t="shared" si="37"/>
        <v>0</v>
      </c>
      <c r="L71" s="39">
        <f t="shared" si="37"/>
        <v>0</v>
      </c>
      <c r="M71" s="39">
        <f t="shared" si="37"/>
        <v>0</v>
      </c>
    </row>
    <row r="72" spans="1:13" s="35" customFormat="1" ht="51" x14ac:dyDescent="0.3">
      <c r="A72" s="81">
        <v>32</v>
      </c>
      <c r="B72" s="40" t="s">
        <v>82</v>
      </c>
      <c r="C72" s="37" t="s">
        <v>65</v>
      </c>
      <c r="D72" s="37" t="s">
        <v>41</v>
      </c>
      <c r="E72" s="38" t="s">
        <v>17</v>
      </c>
      <c r="F72" s="55" t="s">
        <v>17</v>
      </c>
      <c r="G72" s="30">
        <f t="shared" si="1"/>
        <v>180182951.73000002</v>
      </c>
      <c r="H72" s="41">
        <f t="shared" si="37"/>
        <v>83250981</v>
      </c>
      <c r="I72" s="41">
        <f t="shared" si="37"/>
        <v>96931970.730000004</v>
      </c>
      <c r="J72" s="41">
        <f t="shared" si="37"/>
        <v>0</v>
      </c>
      <c r="K72" s="41">
        <f t="shared" si="37"/>
        <v>0</v>
      </c>
      <c r="L72" s="41">
        <f t="shared" si="37"/>
        <v>0</v>
      </c>
      <c r="M72" s="41">
        <f t="shared" si="37"/>
        <v>0</v>
      </c>
    </row>
    <row r="73" spans="1:13" s="35" customFormat="1" ht="51" x14ac:dyDescent="0.3">
      <c r="A73" s="81">
        <v>33</v>
      </c>
      <c r="B73" s="40" t="s">
        <v>83</v>
      </c>
      <c r="C73" s="37" t="s">
        <v>65</v>
      </c>
      <c r="D73" s="37" t="s">
        <v>41</v>
      </c>
      <c r="E73" s="38">
        <v>737</v>
      </c>
      <c r="F73" s="55" t="s">
        <v>17</v>
      </c>
      <c r="G73" s="30">
        <f t="shared" ref="G73:G136" si="38">H73+I73+J73+K73+L73+M73</f>
        <v>180182951.73000002</v>
      </c>
      <c r="H73" s="41">
        <f t="shared" ref="H73:M73" si="39">SUM(H74:H78)</f>
        <v>83250981</v>
      </c>
      <c r="I73" s="41">
        <f t="shared" si="39"/>
        <v>96931970.730000004</v>
      </c>
      <c r="J73" s="41">
        <f t="shared" si="39"/>
        <v>0</v>
      </c>
      <c r="K73" s="41">
        <f t="shared" si="39"/>
        <v>0</v>
      </c>
      <c r="L73" s="41">
        <f t="shared" si="39"/>
        <v>0</v>
      </c>
      <c r="M73" s="41">
        <f t="shared" si="39"/>
        <v>0</v>
      </c>
    </row>
    <row r="74" spans="1:13" s="35" customFormat="1" ht="51" x14ac:dyDescent="0.3">
      <c r="A74" s="81">
        <v>34</v>
      </c>
      <c r="B74" s="40" t="s">
        <v>84</v>
      </c>
      <c r="C74" s="37" t="s">
        <v>65</v>
      </c>
      <c r="D74" s="37" t="s">
        <v>41</v>
      </c>
      <c r="E74" s="38">
        <v>737</v>
      </c>
      <c r="F74" s="55" t="s">
        <v>17</v>
      </c>
      <c r="G74" s="30">
        <f t="shared" si="38"/>
        <v>70404569.390000001</v>
      </c>
      <c r="H74" s="41">
        <v>5000000</v>
      </c>
      <c r="I74" s="41">
        <v>65404569.390000001</v>
      </c>
      <c r="J74" s="41">
        <v>0</v>
      </c>
      <c r="K74" s="41">
        <v>0</v>
      </c>
      <c r="L74" s="41">
        <v>0</v>
      </c>
      <c r="M74" s="41">
        <v>0</v>
      </c>
    </row>
    <row r="75" spans="1:13" ht="51" hidden="1" x14ac:dyDescent="0.3">
      <c r="A75" s="32"/>
      <c r="B75" s="40" t="s">
        <v>85</v>
      </c>
      <c r="C75" s="37" t="s">
        <v>65</v>
      </c>
      <c r="D75" s="37" t="s">
        <v>41</v>
      </c>
      <c r="E75" s="38" t="s">
        <v>17</v>
      </c>
      <c r="F75" s="55" t="s">
        <v>17</v>
      </c>
      <c r="G75" s="30">
        <f t="shared" si="38"/>
        <v>0</v>
      </c>
      <c r="H75" s="41">
        <v>0</v>
      </c>
      <c r="I75" s="41">
        <v>0</v>
      </c>
      <c r="J75" s="41">
        <v>0</v>
      </c>
      <c r="K75" s="41">
        <f>1000000-1000000</f>
        <v>0</v>
      </c>
      <c r="L75" s="41"/>
      <c r="M75" s="41"/>
    </row>
    <row r="76" spans="1:13" s="35" customFormat="1" ht="51" x14ac:dyDescent="0.3">
      <c r="A76" s="81">
        <v>35</v>
      </c>
      <c r="B76" s="40" t="s">
        <v>86</v>
      </c>
      <c r="C76" s="37" t="s">
        <v>65</v>
      </c>
      <c r="D76" s="37" t="s">
        <v>41</v>
      </c>
      <c r="E76" s="38">
        <v>737</v>
      </c>
      <c r="F76" s="55" t="s">
        <v>17</v>
      </c>
      <c r="G76" s="30">
        <f t="shared" si="38"/>
        <v>7769217.5</v>
      </c>
      <c r="H76" s="41">
        <v>5000000</v>
      </c>
      <c r="I76" s="41">
        <f>4000000-1230782.5</f>
        <v>2769217.5</v>
      </c>
      <c r="J76" s="41">
        <v>0</v>
      </c>
      <c r="K76" s="41">
        <v>0</v>
      </c>
      <c r="L76" s="41">
        <v>0</v>
      </c>
      <c r="M76" s="41">
        <v>0</v>
      </c>
    </row>
    <row r="77" spans="1:13" s="47" customFormat="1" ht="67.5" hidden="1" customHeight="1" x14ac:dyDescent="0.3">
      <c r="A77" s="42">
        <v>33</v>
      </c>
      <c r="B77" s="43" t="s">
        <v>88</v>
      </c>
      <c r="C77" s="44" t="s">
        <v>65</v>
      </c>
      <c r="D77" s="44" t="s">
        <v>41</v>
      </c>
      <c r="E77" s="45" t="s">
        <v>17</v>
      </c>
      <c r="F77" s="56" t="s">
        <v>17</v>
      </c>
      <c r="G77" s="30">
        <f t="shared" si="38"/>
        <v>0</v>
      </c>
      <c r="H77" s="46">
        <v>0</v>
      </c>
      <c r="I77" s="46">
        <f>10800000-4900000-5900000</f>
        <v>0</v>
      </c>
      <c r="J77" s="46"/>
      <c r="K77" s="46"/>
      <c r="L77" s="46"/>
      <c r="M77" s="46"/>
    </row>
    <row r="78" spans="1:13" s="35" customFormat="1" ht="138" customHeight="1" x14ac:dyDescent="0.3">
      <c r="A78" s="81">
        <v>36</v>
      </c>
      <c r="B78" s="49" t="s">
        <v>90</v>
      </c>
      <c r="C78" s="37" t="s">
        <v>65</v>
      </c>
      <c r="D78" s="37" t="s">
        <v>41</v>
      </c>
      <c r="E78" s="38">
        <v>737</v>
      </c>
      <c r="F78" s="55" t="s">
        <v>17</v>
      </c>
      <c r="G78" s="30">
        <f t="shared" si="38"/>
        <v>102009164.84</v>
      </c>
      <c r="H78" s="41">
        <v>73250981</v>
      </c>
      <c r="I78" s="41">
        <f>34250981+4900000+1230782.5-6130782.5-5492797.16</f>
        <v>28758183.84</v>
      </c>
      <c r="J78" s="41">
        <v>0</v>
      </c>
      <c r="K78" s="41">
        <v>0</v>
      </c>
      <c r="L78" s="41">
        <v>0</v>
      </c>
      <c r="M78" s="41">
        <v>0</v>
      </c>
    </row>
    <row r="79" spans="1:13" ht="40.799999999999997" x14ac:dyDescent="0.3">
      <c r="A79" s="72">
        <v>37</v>
      </c>
      <c r="B79" s="78" t="s">
        <v>8</v>
      </c>
      <c r="C79" s="73" t="s">
        <v>62</v>
      </c>
      <c r="D79" s="73" t="s">
        <v>41</v>
      </c>
      <c r="E79" s="71">
        <v>741</v>
      </c>
      <c r="F79" s="54" t="s">
        <v>17</v>
      </c>
      <c r="G79" s="30">
        <f t="shared" si="38"/>
        <v>5814740</v>
      </c>
      <c r="H79" s="30">
        <f t="shared" ref="H79:M79" si="40">H80+H87</f>
        <v>1765980</v>
      </c>
      <c r="I79" s="30">
        <f t="shared" si="40"/>
        <v>1934430</v>
      </c>
      <c r="J79" s="66">
        <f t="shared" si="40"/>
        <v>2114330</v>
      </c>
      <c r="K79" s="30">
        <f t="shared" si="40"/>
        <v>0</v>
      </c>
      <c r="L79" s="30">
        <f t="shared" si="40"/>
        <v>0</v>
      </c>
      <c r="M79" s="30">
        <f t="shared" si="40"/>
        <v>0</v>
      </c>
    </row>
    <row r="80" spans="1:13" ht="51" x14ac:dyDescent="0.3">
      <c r="A80" s="72">
        <v>38</v>
      </c>
      <c r="B80" s="74" t="s">
        <v>20</v>
      </c>
      <c r="C80" s="73" t="s">
        <v>7</v>
      </c>
      <c r="D80" s="73" t="s">
        <v>43</v>
      </c>
      <c r="E80" s="71">
        <v>741</v>
      </c>
      <c r="F80" s="54" t="s">
        <v>17</v>
      </c>
      <c r="G80" s="30">
        <f t="shared" si="38"/>
        <v>0</v>
      </c>
      <c r="H80" s="30">
        <f>H81+H83+H85</f>
        <v>0</v>
      </c>
      <c r="I80" s="30">
        <f t="shared" ref="I80:M80" si="41">I81+I83+I85</f>
        <v>0</v>
      </c>
      <c r="J80" s="30">
        <f t="shared" si="41"/>
        <v>0</v>
      </c>
      <c r="K80" s="30">
        <f t="shared" si="41"/>
        <v>0</v>
      </c>
      <c r="L80" s="30">
        <f t="shared" si="41"/>
        <v>0</v>
      </c>
      <c r="M80" s="30">
        <f t="shared" si="41"/>
        <v>0</v>
      </c>
    </row>
    <row r="81" spans="1:13" ht="51" x14ac:dyDescent="0.3">
      <c r="A81" s="81">
        <v>39</v>
      </c>
      <c r="B81" s="19" t="s">
        <v>21</v>
      </c>
      <c r="C81" s="73" t="s">
        <v>7</v>
      </c>
      <c r="D81" s="73" t="s">
        <v>43</v>
      </c>
      <c r="E81" s="71">
        <v>741</v>
      </c>
      <c r="F81" s="54" t="s">
        <v>17</v>
      </c>
      <c r="G81" s="30">
        <f t="shared" si="38"/>
        <v>0</v>
      </c>
      <c r="H81" s="30">
        <f>H82</f>
        <v>0</v>
      </c>
      <c r="I81" s="30">
        <f>I82</f>
        <v>0</v>
      </c>
      <c r="J81" s="30">
        <f>J82</f>
        <v>0</v>
      </c>
      <c r="K81" s="31">
        <v>0</v>
      </c>
      <c r="L81" s="31">
        <v>0</v>
      </c>
      <c r="M81" s="31">
        <v>0</v>
      </c>
    </row>
    <row r="82" spans="1:13" ht="51" x14ac:dyDescent="0.3">
      <c r="A82" s="72">
        <v>40</v>
      </c>
      <c r="B82" s="19" t="s">
        <v>22</v>
      </c>
      <c r="C82" s="73" t="s">
        <v>7</v>
      </c>
      <c r="D82" s="73" t="s">
        <v>43</v>
      </c>
      <c r="E82" s="71">
        <v>741</v>
      </c>
      <c r="F82" s="54" t="s">
        <v>17</v>
      </c>
      <c r="G82" s="30">
        <f t="shared" si="38"/>
        <v>0</v>
      </c>
      <c r="H82" s="30">
        <v>0</v>
      </c>
      <c r="I82" s="30">
        <v>0</v>
      </c>
      <c r="J82" s="30">
        <v>0</v>
      </c>
      <c r="K82" s="31">
        <v>0</v>
      </c>
      <c r="L82" s="31">
        <v>0</v>
      </c>
      <c r="M82" s="31">
        <v>0</v>
      </c>
    </row>
    <row r="83" spans="1:13" ht="51" x14ac:dyDescent="0.3">
      <c r="A83" s="72">
        <v>41</v>
      </c>
      <c r="B83" s="74" t="s">
        <v>23</v>
      </c>
      <c r="C83" s="73" t="s">
        <v>7</v>
      </c>
      <c r="D83" s="73" t="s">
        <v>43</v>
      </c>
      <c r="E83" s="71">
        <v>741</v>
      </c>
      <c r="F83" s="54" t="s">
        <v>17</v>
      </c>
      <c r="G83" s="30">
        <f t="shared" si="38"/>
        <v>0</v>
      </c>
      <c r="H83" s="30">
        <f>H84</f>
        <v>0</v>
      </c>
      <c r="I83" s="30">
        <f>I84</f>
        <v>0</v>
      </c>
      <c r="J83" s="30">
        <f>J84</f>
        <v>0</v>
      </c>
      <c r="K83" s="31">
        <v>0</v>
      </c>
      <c r="L83" s="31">
        <v>0</v>
      </c>
      <c r="M83" s="31">
        <v>0</v>
      </c>
    </row>
    <row r="84" spans="1:13" ht="51" x14ac:dyDescent="0.3">
      <c r="A84" s="72">
        <v>42</v>
      </c>
      <c r="B84" s="74" t="s">
        <v>24</v>
      </c>
      <c r="C84" s="73" t="s">
        <v>7</v>
      </c>
      <c r="D84" s="73" t="s">
        <v>43</v>
      </c>
      <c r="E84" s="71">
        <v>741</v>
      </c>
      <c r="F84" s="54" t="s">
        <v>17</v>
      </c>
      <c r="G84" s="30">
        <f t="shared" si="38"/>
        <v>0</v>
      </c>
      <c r="H84" s="30">
        <v>0</v>
      </c>
      <c r="I84" s="30">
        <v>0</v>
      </c>
      <c r="J84" s="30">
        <v>0</v>
      </c>
      <c r="K84" s="31">
        <v>0</v>
      </c>
      <c r="L84" s="31">
        <v>0</v>
      </c>
      <c r="M84" s="31">
        <v>0</v>
      </c>
    </row>
    <row r="85" spans="1:13" ht="51" x14ac:dyDescent="0.3">
      <c r="A85" s="72">
        <v>43</v>
      </c>
      <c r="B85" s="74" t="s">
        <v>25</v>
      </c>
      <c r="C85" s="73" t="s">
        <v>7</v>
      </c>
      <c r="D85" s="73" t="s">
        <v>43</v>
      </c>
      <c r="E85" s="71">
        <v>741</v>
      </c>
      <c r="F85" s="54" t="s">
        <v>17</v>
      </c>
      <c r="G85" s="30">
        <f t="shared" si="38"/>
        <v>0</v>
      </c>
      <c r="H85" s="30">
        <f>H86</f>
        <v>0</v>
      </c>
      <c r="I85" s="30">
        <f>I86</f>
        <v>0</v>
      </c>
      <c r="J85" s="30">
        <f>J86</f>
        <v>0</v>
      </c>
      <c r="K85" s="31">
        <v>0</v>
      </c>
      <c r="L85" s="31">
        <v>0</v>
      </c>
      <c r="M85" s="31">
        <v>0</v>
      </c>
    </row>
    <row r="86" spans="1:13" ht="61.2" x14ac:dyDescent="0.3">
      <c r="A86" s="72">
        <v>44</v>
      </c>
      <c r="B86" s="74" t="s">
        <v>26</v>
      </c>
      <c r="C86" s="73" t="s">
        <v>7</v>
      </c>
      <c r="D86" s="73" t="s">
        <v>43</v>
      </c>
      <c r="E86" s="71">
        <v>741</v>
      </c>
      <c r="F86" s="54" t="s">
        <v>17</v>
      </c>
      <c r="G86" s="30">
        <f t="shared" si="38"/>
        <v>0</v>
      </c>
      <c r="H86" s="30">
        <v>0</v>
      </c>
      <c r="I86" s="30">
        <v>0</v>
      </c>
      <c r="J86" s="30">
        <v>0</v>
      </c>
      <c r="K86" s="31">
        <v>0</v>
      </c>
      <c r="L86" s="31">
        <v>0</v>
      </c>
      <c r="M86" s="31">
        <v>0</v>
      </c>
    </row>
    <row r="87" spans="1:13" ht="51" x14ac:dyDescent="0.3">
      <c r="A87" s="72">
        <v>45</v>
      </c>
      <c r="B87" s="74" t="s">
        <v>64</v>
      </c>
      <c r="C87" s="73" t="s">
        <v>62</v>
      </c>
      <c r="D87" s="73" t="s">
        <v>41</v>
      </c>
      <c r="E87" s="71">
        <v>741</v>
      </c>
      <c r="F87" s="54" t="s">
        <v>17</v>
      </c>
      <c r="G87" s="30">
        <f t="shared" si="38"/>
        <v>5814740</v>
      </c>
      <c r="H87" s="30">
        <f t="shared" ref="H87:M88" si="42">H88</f>
        <v>1765980</v>
      </c>
      <c r="I87" s="30">
        <f t="shared" si="42"/>
        <v>1934430</v>
      </c>
      <c r="J87" s="30">
        <f t="shared" si="42"/>
        <v>2114330</v>
      </c>
      <c r="K87" s="30">
        <f t="shared" si="42"/>
        <v>0</v>
      </c>
      <c r="L87" s="30">
        <f t="shared" si="42"/>
        <v>0</v>
      </c>
      <c r="M87" s="30">
        <f t="shared" si="42"/>
        <v>0</v>
      </c>
    </row>
    <row r="88" spans="1:13" ht="51" x14ac:dyDescent="0.3">
      <c r="A88" s="72">
        <v>46</v>
      </c>
      <c r="B88" s="74" t="s">
        <v>57</v>
      </c>
      <c r="C88" s="73" t="s">
        <v>62</v>
      </c>
      <c r="D88" s="73" t="s">
        <v>41</v>
      </c>
      <c r="E88" s="71">
        <v>741</v>
      </c>
      <c r="F88" s="54" t="s">
        <v>17</v>
      </c>
      <c r="G88" s="30">
        <f t="shared" si="38"/>
        <v>5814740</v>
      </c>
      <c r="H88" s="30">
        <f t="shared" si="42"/>
        <v>1765980</v>
      </c>
      <c r="I88" s="30">
        <f t="shared" si="42"/>
        <v>1934430</v>
      </c>
      <c r="J88" s="30">
        <f t="shared" si="42"/>
        <v>2114330</v>
      </c>
      <c r="K88" s="30">
        <f t="shared" si="42"/>
        <v>0</v>
      </c>
      <c r="L88" s="30">
        <f t="shared" si="42"/>
        <v>0</v>
      </c>
      <c r="M88" s="30">
        <f t="shared" si="42"/>
        <v>0</v>
      </c>
    </row>
    <row r="89" spans="1:13" ht="40.799999999999997" x14ac:dyDescent="0.3">
      <c r="A89" s="72">
        <v>47</v>
      </c>
      <c r="B89" s="74" t="s">
        <v>78</v>
      </c>
      <c r="C89" s="73" t="s">
        <v>62</v>
      </c>
      <c r="D89" s="73" t="s">
        <v>41</v>
      </c>
      <c r="E89" s="71">
        <v>741</v>
      </c>
      <c r="F89" s="54" t="s">
        <v>111</v>
      </c>
      <c r="G89" s="30">
        <f t="shared" si="38"/>
        <v>5814740</v>
      </c>
      <c r="H89" s="30">
        <v>1765980</v>
      </c>
      <c r="I89" s="30">
        <v>1934430</v>
      </c>
      <c r="J89" s="30">
        <v>2114330</v>
      </c>
      <c r="K89" s="31">
        <v>0</v>
      </c>
      <c r="L89" s="31">
        <v>0</v>
      </c>
      <c r="M89" s="69">
        <f>2000000-2000000</f>
        <v>0</v>
      </c>
    </row>
    <row r="90" spans="1:13" ht="81.599999999999994" x14ac:dyDescent="0.3">
      <c r="A90" s="81">
        <v>48</v>
      </c>
      <c r="B90" s="78" t="s">
        <v>45</v>
      </c>
      <c r="C90" s="73" t="s">
        <v>60</v>
      </c>
      <c r="D90" s="73" t="s">
        <v>41</v>
      </c>
      <c r="E90" s="54" t="s">
        <v>17</v>
      </c>
      <c r="F90" s="54" t="s">
        <v>17</v>
      </c>
      <c r="G90" s="30">
        <f t="shared" si="38"/>
        <v>11313500</v>
      </c>
      <c r="H90" s="30">
        <f t="shared" ref="H90:M90" si="43">H92+H94+H96+H98+H100</f>
        <v>11313500</v>
      </c>
      <c r="I90" s="30">
        <f t="shared" si="43"/>
        <v>0</v>
      </c>
      <c r="J90" s="30">
        <f t="shared" si="43"/>
        <v>0</v>
      </c>
      <c r="K90" s="30">
        <f t="shared" si="43"/>
        <v>0</v>
      </c>
      <c r="L90" s="30">
        <f t="shared" si="43"/>
        <v>0</v>
      </c>
      <c r="M90" s="30">
        <f t="shared" si="43"/>
        <v>0</v>
      </c>
    </row>
    <row r="91" spans="1:13" ht="81.599999999999994" x14ac:dyDescent="0.3">
      <c r="A91" s="81">
        <v>49</v>
      </c>
      <c r="B91" s="74" t="s">
        <v>27</v>
      </c>
      <c r="C91" s="73" t="s">
        <v>63</v>
      </c>
      <c r="D91" s="73" t="s">
        <v>41</v>
      </c>
      <c r="E91" s="54" t="s">
        <v>17</v>
      </c>
      <c r="F91" s="54" t="s">
        <v>17</v>
      </c>
      <c r="G91" s="30">
        <f t="shared" si="38"/>
        <v>11162472</v>
      </c>
      <c r="H91" s="30">
        <f t="shared" ref="H91:M92" si="44">H92</f>
        <v>11162472</v>
      </c>
      <c r="I91" s="30">
        <f t="shared" si="44"/>
        <v>0</v>
      </c>
      <c r="J91" s="30">
        <f t="shared" si="44"/>
        <v>0</v>
      </c>
      <c r="K91" s="30">
        <f t="shared" si="44"/>
        <v>0</v>
      </c>
      <c r="L91" s="30">
        <f t="shared" si="44"/>
        <v>0</v>
      </c>
      <c r="M91" s="30">
        <f t="shared" si="44"/>
        <v>0</v>
      </c>
    </row>
    <row r="92" spans="1:13" ht="40.799999999999997" x14ac:dyDescent="0.3">
      <c r="A92" s="81">
        <v>50</v>
      </c>
      <c r="B92" s="74" t="s">
        <v>28</v>
      </c>
      <c r="C92" s="73" t="s">
        <v>61</v>
      </c>
      <c r="D92" s="73" t="s">
        <v>41</v>
      </c>
      <c r="E92" s="71">
        <v>741</v>
      </c>
      <c r="F92" s="54" t="s">
        <v>17</v>
      </c>
      <c r="G92" s="30">
        <f t="shared" si="38"/>
        <v>11162472</v>
      </c>
      <c r="H92" s="30">
        <f t="shared" si="44"/>
        <v>11162472</v>
      </c>
      <c r="I92" s="30">
        <f t="shared" si="44"/>
        <v>0</v>
      </c>
      <c r="J92" s="30">
        <f t="shared" si="44"/>
        <v>0</v>
      </c>
      <c r="K92" s="30">
        <f t="shared" si="44"/>
        <v>0</v>
      </c>
      <c r="L92" s="30">
        <f t="shared" si="44"/>
        <v>0</v>
      </c>
      <c r="M92" s="30">
        <f t="shared" si="44"/>
        <v>0</v>
      </c>
    </row>
    <row r="93" spans="1:13" ht="40.799999999999997" x14ac:dyDescent="0.3">
      <c r="A93" s="81">
        <v>51</v>
      </c>
      <c r="B93" s="74" t="s">
        <v>29</v>
      </c>
      <c r="C93" s="73" t="s">
        <v>62</v>
      </c>
      <c r="D93" s="73" t="s">
        <v>41</v>
      </c>
      <c r="E93" s="71">
        <v>741</v>
      </c>
      <c r="F93" s="54" t="s">
        <v>17</v>
      </c>
      <c r="G93" s="30">
        <f t="shared" si="38"/>
        <v>11162472</v>
      </c>
      <c r="H93" s="30">
        <v>11162472</v>
      </c>
      <c r="I93" s="30">
        <v>0</v>
      </c>
      <c r="J93" s="30">
        <v>0</v>
      </c>
      <c r="K93" s="31">
        <v>0</v>
      </c>
      <c r="L93" s="31">
        <v>0</v>
      </c>
      <c r="M93" s="31">
        <v>0</v>
      </c>
    </row>
    <row r="94" spans="1:13" ht="40.799999999999997" x14ac:dyDescent="0.3">
      <c r="A94" s="81">
        <v>52</v>
      </c>
      <c r="B94" s="74" t="s">
        <v>30</v>
      </c>
      <c r="C94" s="73" t="s">
        <v>62</v>
      </c>
      <c r="D94" s="73" t="s">
        <v>43</v>
      </c>
      <c r="E94" s="71">
        <v>741</v>
      </c>
      <c r="F94" s="54" t="s">
        <v>17</v>
      </c>
      <c r="G94" s="30">
        <f t="shared" si="38"/>
        <v>0</v>
      </c>
      <c r="H94" s="30">
        <f>H95</f>
        <v>0</v>
      </c>
      <c r="I94" s="30">
        <f>I95</f>
        <v>0</v>
      </c>
      <c r="J94" s="30">
        <f>J95</f>
        <v>0</v>
      </c>
      <c r="K94" s="31">
        <v>0</v>
      </c>
      <c r="L94" s="31">
        <v>0</v>
      </c>
      <c r="M94" s="31">
        <v>0</v>
      </c>
    </row>
    <row r="95" spans="1:13" ht="40.799999999999997" x14ac:dyDescent="0.3">
      <c r="A95" s="81">
        <v>53</v>
      </c>
      <c r="B95" s="74" t="s">
        <v>31</v>
      </c>
      <c r="C95" s="73" t="s">
        <v>62</v>
      </c>
      <c r="D95" s="73" t="s">
        <v>43</v>
      </c>
      <c r="E95" s="71">
        <v>741</v>
      </c>
      <c r="F95" s="54" t="s">
        <v>17</v>
      </c>
      <c r="G95" s="30">
        <f t="shared" si="38"/>
        <v>0</v>
      </c>
      <c r="H95" s="30">
        <v>0</v>
      </c>
      <c r="I95" s="30">
        <v>0</v>
      </c>
      <c r="J95" s="30">
        <v>0</v>
      </c>
      <c r="K95" s="31">
        <v>0</v>
      </c>
      <c r="L95" s="31">
        <v>0</v>
      </c>
      <c r="M95" s="31">
        <v>0</v>
      </c>
    </row>
    <row r="96" spans="1:13" ht="40.799999999999997" x14ac:dyDescent="0.3">
      <c r="A96" s="81">
        <v>54</v>
      </c>
      <c r="B96" s="74" t="s">
        <v>32</v>
      </c>
      <c r="C96" s="73" t="s">
        <v>62</v>
      </c>
      <c r="D96" s="73" t="s">
        <v>43</v>
      </c>
      <c r="E96" s="71">
        <v>741</v>
      </c>
      <c r="F96" s="54" t="s">
        <v>17</v>
      </c>
      <c r="G96" s="30">
        <f t="shared" si="38"/>
        <v>0</v>
      </c>
      <c r="H96" s="30">
        <f>H97</f>
        <v>0</v>
      </c>
      <c r="I96" s="30">
        <f>I97</f>
        <v>0</v>
      </c>
      <c r="J96" s="30">
        <f>J97</f>
        <v>0</v>
      </c>
      <c r="K96" s="31">
        <v>0</v>
      </c>
      <c r="L96" s="31">
        <v>0</v>
      </c>
      <c r="M96" s="31">
        <v>0</v>
      </c>
    </row>
    <row r="97" spans="1:13" ht="40.799999999999997" x14ac:dyDescent="0.3">
      <c r="A97" s="81">
        <v>55</v>
      </c>
      <c r="B97" s="74" t="s">
        <v>33</v>
      </c>
      <c r="C97" s="73" t="s">
        <v>62</v>
      </c>
      <c r="D97" s="73" t="s">
        <v>43</v>
      </c>
      <c r="E97" s="71">
        <v>741</v>
      </c>
      <c r="F97" s="54" t="s">
        <v>17</v>
      </c>
      <c r="G97" s="30">
        <f t="shared" si="38"/>
        <v>0</v>
      </c>
      <c r="H97" s="30">
        <v>0</v>
      </c>
      <c r="I97" s="30">
        <v>0</v>
      </c>
      <c r="J97" s="30">
        <v>0</v>
      </c>
      <c r="K97" s="31">
        <v>0</v>
      </c>
      <c r="L97" s="31">
        <v>0</v>
      </c>
      <c r="M97" s="31">
        <v>0</v>
      </c>
    </row>
    <row r="98" spans="1:13" ht="40.799999999999997" x14ac:dyDescent="0.3">
      <c r="A98" s="81">
        <v>56</v>
      </c>
      <c r="B98" s="74" t="s">
        <v>34</v>
      </c>
      <c r="C98" s="73" t="s">
        <v>62</v>
      </c>
      <c r="D98" s="73" t="s">
        <v>43</v>
      </c>
      <c r="E98" s="71">
        <v>741</v>
      </c>
      <c r="F98" s="54" t="s">
        <v>17</v>
      </c>
      <c r="G98" s="30">
        <f t="shared" si="38"/>
        <v>0</v>
      </c>
      <c r="H98" s="30">
        <f>H99</f>
        <v>0</v>
      </c>
      <c r="I98" s="30">
        <f>I99</f>
        <v>0</v>
      </c>
      <c r="J98" s="30">
        <f>J99</f>
        <v>0</v>
      </c>
      <c r="K98" s="31">
        <v>0</v>
      </c>
      <c r="L98" s="31">
        <v>0</v>
      </c>
      <c r="M98" s="31">
        <v>0</v>
      </c>
    </row>
    <row r="99" spans="1:13" ht="51" x14ac:dyDescent="0.3">
      <c r="A99" s="81">
        <v>57</v>
      </c>
      <c r="B99" s="74" t="s">
        <v>35</v>
      </c>
      <c r="C99" s="73" t="s">
        <v>62</v>
      </c>
      <c r="D99" s="73" t="s">
        <v>43</v>
      </c>
      <c r="E99" s="71">
        <v>741</v>
      </c>
      <c r="F99" s="54" t="s">
        <v>17</v>
      </c>
      <c r="G99" s="30">
        <f t="shared" si="38"/>
        <v>0</v>
      </c>
      <c r="H99" s="30">
        <v>0</v>
      </c>
      <c r="I99" s="30">
        <v>0</v>
      </c>
      <c r="J99" s="30">
        <v>0</v>
      </c>
      <c r="K99" s="31">
        <v>0</v>
      </c>
      <c r="L99" s="31">
        <v>0</v>
      </c>
      <c r="M99" s="31">
        <v>0</v>
      </c>
    </row>
    <row r="100" spans="1:13" ht="40.799999999999997" x14ac:dyDescent="0.3">
      <c r="A100" s="81">
        <v>58</v>
      </c>
      <c r="B100" s="74" t="s">
        <v>36</v>
      </c>
      <c r="C100" s="73" t="s">
        <v>46</v>
      </c>
      <c r="D100" s="73" t="s">
        <v>41</v>
      </c>
      <c r="E100" s="71">
        <v>739</v>
      </c>
      <c r="F100" s="54" t="s">
        <v>17</v>
      </c>
      <c r="G100" s="30">
        <f t="shared" si="38"/>
        <v>151028</v>
      </c>
      <c r="H100" s="30">
        <f t="shared" ref="H100:M100" si="45">H101+H102+H103+H104+H105</f>
        <v>151028</v>
      </c>
      <c r="I100" s="30">
        <f t="shared" si="45"/>
        <v>0</v>
      </c>
      <c r="J100" s="30">
        <f t="shared" si="45"/>
        <v>0</v>
      </c>
      <c r="K100" s="30">
        <f t="shared" si="45"/>
        <v>0</v>
      </c>
      <c r="L100" s="30">
        <f t="shared" si="45"/>
        <v>0</v>
      </c>
      <c r="M100" s="30">
        <f t="shared" si="45"/>
        <v>0</v>
      </c>
    </row>
    <row r="101" spans="1:13" ht="40.799999999999997" x14ac:dyDescent="0.3">
      <c r="A101" s="81">
        <v>59</v>
      </c>
      <c r="B101" s="20" t="s">
        <v>37</v>
      </c>
      <c r="C101" s="73" t="s">
        <v>62</v>
      </c>
      <c r="D101" s="73" t="s">
        <v>43</v>
      </c>
      <c r="E101" s="71">
        <v>741</v>
      </c>
      <c r="F101" s="54" t="s">
        <v>17</v>
      </c>
      <c r="G101" s="30">
        <f t="shared" si="38"/>
        <v>0</v>
      </c>
      <c r="H101" s="30">
        <v>0</v>
      </c>
      <c r="I101" s="30">
        <v>0</v>
      </c>
      <c r="J101" s="30">
        <v>0</v>
      </c>
      <c r="K101" s="31">
        <v>0</v>
      </c>
      <c r="L101" s="31">
        <v>0</v>
      </c>
      <c r="M101" s="31">
        <v>0</v>
      </c>
    </row>
    <row r="102" spans="1:13" ht="40.799999999999997" x14ac:dyDescent="0.3">
      <c r="A102" s="81">
        <v>60</v>
      </c>
      <c r="B102" s="74" t="s">
        <v>38</v>
      </c>
      <c r="C102" s="73" t="s">
        <v>62</v>
      </c>
      <c r="D102" s="73" t="s">
        <v>43</v>
      </c>
      <c r="E102" s="71">
        <v>741</v>
      </c>
      <c r="F102" s="54" t="s">
        <v>17</v>
      </c>
      <c r="G102" s="30">
        <f t="shared" si="38"/>
        <v>0</v>
      </c>
      <c r="H102" s="30">
        <v>0</v>
      </c>
      <c r="I102" s="30">
        <v>0</v>
      </c>
      <c r="J102" s="30">
        <v>0</v>
      </c>
      <c r="K102" s="31">
        <v>0</v>
      </c>
      <c r="L102" s="31">
        <v>0</v>
      </c>
      <c r="M102" s="31">
        <v>0</v>
      </c>
    </row>
    <row r="103" spans="1:13" ht="40.799999999999997" x14ac:dyDescent="0.3">
      <c r="A103" s="81">
        <v>61</v>
      </c>
      <c r="B103" s="74" t="s">
        <v>39</v>
      </c>
      <c r="C103" s="73" t="s">
        <v>62</v>
      </c>
      <c r="D103" s="73" t="s">
        <v>43</v>
      </c>
      <c r="E103" s="71">
        <v>741</v>
      </c>
      <c r="F103" s="54" t="s">
        <v>17</v>
      </c>
      <c r="G103" s="30">
        <f t="shared" si="38"/>
        <v>0</v>
      </c>
      <c r="H103" s="30">
        <v>0</v>
      </c>
      <c r="I103" s="30">
        <v>0</v>
      </c>
      <c r="J103" s="30">
        <v>0</v>
      </c>
      <c r="K103" s="31">
        <v>0</v>
      </c>
      <c r="L103" s="31">
        <v>0</v>
      </c>
      <c r="M103" s="31">
        <v>0</v>
      </c>
    </row>
    <row r="104" spans="1:13" ht="40.799999999999997" x14ac:dyDescent="0.3">
      <c r="A104" s="81">
        <v>62</v>
      </c>
      <c r="B104" s="74" t="s">
        <v>48</v>
      </c>
      <c r="C104" s="73" t="s">
        <v>62</v>
      </c>
      <c r="D104" s="73" t="s">
        <v>43</v>
      </c>
      <c r="E104" s="71">
        <v>741</v>
      </c>
      <c r="F104" s="54" t="s">
        <v>17</v>
      </c>
      <c r="G104" s="30">
        <f t="shared" si="38"/>
        <v>0</v>
      </c>
      <c r="H104" s="30">
        <v>0</v>
      </c>
      <c r="I104" s="30">
        <v>0</v>
      </c>
      <c r="J104" s="30">
        <v>0</v>
      </c>
      <c r="K104" s="31">
        <v>0</v>
      </c>
      <c r="L104" s="31">
        <v>0</v>
      </c>
      <c r="M104" s="31">
        <v>0</v>
      </c>
    </row>
    <row r="105" spans="1:13" ht="40.799999999999997" x14ac:dyDescent="0.3">
      <c r="A105" s="81">
        <v>63</v>
      </c>
      <c r="B105" s="74" t="s">
        <v>40</v>
      </c>
      <c r="C105" s="73" t="s">
        <v>46</v>
      </c>
      <c r="D105" s="73" t="s">
        <v>41</v>
      </c>
      <c r="E105" s="71">
        <v>739</v>
      </c>
      <c r="F105" s="54" t="s">
        <v>17</v>
      </c>
      <c r="G105" s="30">
        <f t="shared" si="38"/>
        <v>151028</v>
      </c>
      <c r="H105" s="30">
        <v>151028</v>
      </c>
      <c r="I105" s="30">
        <v>0</v>
      </c>
      <c r="J105" s="30">
        <v>0</v>
      </c>
      <c r="K105" s="31">
        <v>0</v>
      </c>
      <c r="L105" s="31">
        <v>0</v>
      </c>
      <c r="M105" s="31">
        <v>0</v>
      </c>
    </row>
    <row r="106" spans="1:13" ht="101.25" customHeight="1" x14ac:dyDescent="0.3">
      <c r="A106" s="81">
        <v>64</v>
      </c>
      <c r="B106" s="78" t="s">
        <v>66</v>
      </c>
      <c r="C106" s="73" t="s">
        <v>60</v>
      </c>
      <c r="D106" s="73" t="s">
        <v>41</v>
      </c>
      <c r="E106" s="71" t="s">
        <v>17</v>
      </c>
      <c r="F106" s="54" t="s">
        <v>17</v>
      </c>
      <c r="G106" s="30">
        <f t="shared" si="38"/>
        <v>64325912.799999997</v>
      </c>
      <c r="H106" s="30">
        <f t="shared" ref="H106:M106" si="46">H108+H110+H112+H114+H116</f>
        <v>0</v>
      </c>
      <c r="I106" s="30">
        <f t="shared" si="46"/>
        <v>12225545</v>
      </c>
      <c r="J106" s="30">
        <f t="shared" si="46"/>
        <v>12587967.800000001</v>
      </c>
      <c r="K106" s="30">
        <f t="shared" si="46"/>
        <v>13170800</v>
      </c>
      <c r="L106" s="30">
        <f t="shared" si="46"/>
        <v>13170800</v>
      </c>
      <c r="M106" s="30">
        <f t="shared" si="46"/>
        <v>13170800</v>
      </c>
    </row>
    <row r="107" spans="1:13" ht="94.5" customHeight="1" x14ac:dyDescent="0.3">
      <c r="A107" s="81">
        <v>65</v>
      </c>
      <c r="B107" s="74" t="s">
        <v>27</v>
      </c>
      <c r="C107" s="73" t="s">
        <v>63</v>
      </c>
      <c r="D107" s="73" t="s">
        <v>41</v>
      </c>
      <c r="E107" s="71" t="s">
        <v>17</v>
      </c>
      <c r="F107" s="54" t="s">
        <v>17</v>
      </c>
      <c r="G107" s="30">
        <f t="shared" si="38"/>
        <v>63570917.799999997</v>
      </c>
      <c r="H107" s="30">
        <f t="shared" ref="H107:M108" si="47">H108</f>
        <v>0</v>
      </c>
      <c r="I107" s="30">
        <f t="shared" si="47"/>
        <v>12074550</v>
      </c>
      <c r="J107" s="30">
        <f t="shared" si="47"/>
        <v>12436967.800000001</v>
      </c>
      <c r="K107" s="30">
        <f t="shared" si="47"/>
        <v>13019800</v>
      </c>
      <c r="L107" s="30">
        <f t="shared" si="47"/>
        <v>13019800</v>
      </c>
      <c r="M107" s="30">
        <f t="shared" si="47"/>
        <v>13019800</v>
      </c>
    </row>
    <row r="108" spans="1:13" ht="40.799999999999997" x14ac:dyDescent="0.3">
      <c r="A108" s="81">
        <v>66</v>
      </c>
      <c r="B108" s="74" t="s">
        <v>28</v>
      </c>
      <c r="C108" s="73" t="s">
        <v>61</v>
      </c>
      <c r="D108" s="73" t="s">
        <v>41</v>
      </c>
      <c r="E108" s="71" t="s">
        <v>17</v>
      </c>
      <c r="F108" s="54" t="s">
        <v>17</v>
      </c>
      <c r="G108" s="30">
        <f t="shared" si="38"/>
        <v>63570917.799999997</v>
      </c>
      <c r="H108" s="30">
        <f>H109</f>
        <v>0</v>
      </c>
      <c r="I108" s="30">
        <f t="shared" si="47"/>
        <v>12074550</v>
      </c>
      <c r="J108" s="30">
        <f t="shared" si="47"/>
        <v>12436967.800000001</v>
      </c>
      <c r="K108" s="30">
        <f t="shared" si="47"/>
        <v>13019800</v>
      </c>
      <c r="L108" s="30">
        <f t="shared" si="47"/>
        <v>13019800</v>
      </c>
      <c r="M108" s="30">
        <f t="shared" si="47"/>
        <v>13019800</v>
      </c>
    </row>
    <row r="109" spans="1:13" ht="40.799999999999997" x14ac:dyDescent="0.3">
      <c r="A109" s="81">
        <v>67</v>
      </c>
      <c r="B109" s="74" t="s">
        <v>29</v>
      </c>
      <c r="C109" s="73" t="s">
        <v>62</v>
      </c>
      <c r="D109" s="73" t="s">
        <v>41</v>
      </c>
      <c r="E109" s="71">
        <v>741</v>
      </c>
      <c r="F109" s="54" t="s">
        <v>112</v>
      </c>
      <c r="G109" s="30">
        <f t="shared" si="38"/>
        <v>63570917.799999997</v>
      </c>
      <c r="H109" s="30">
        <v>0</v>
      </c>
      <c r="I109" s="30">
        <v>12074550</v>
      </c>
      <c r="J109" s="66">
        <f>13019800-582832.2</f>
        <v>12436967.800000001</v>
      </c>
      <c r="K109" s="69">
        <f>13019893-93</f>
        <v>13019800</v>
      </c>
      <c r="L109" s="69">
        <f>13245352-225552</f>
        <v>13019800</v>
      </c>
      <c r="M109" s="69">
        <f>13245352-225552</f>
        <v>13019800</v>
      </c>
    </row>
    <row r="110" spans="1:13" ht="40.799999999999997" x14ac:dyDescent="0.3">
      <c r="A110" s="81">
        <v>68</v>
      </c>
      <c r="B110" s="74" t="s">
        <v>30</v>
      </c>
      <c r="C110" s="73" t="s">
        <v>62</v>
      </c>
      <c r="D110" s="73" t="s">
        <v>43</v>
      </c>
      <c r="E110" s="54" t="s">
        <v>17</v>
      </c>
      <c r="F110" s="54" t="s">
        <v>17</v>
      </c>
      <c r="G110" s="30">
        <f t="shared" si="38"/>
        <v>0</v>
      </c>
      <c r="H110" s="30">
        <f>H111</f>
        <v>0</v>
      </c>
      <c r="I110" s="30">
        <f>I111</f>
        <v>0</v>
      </c>
      <c r="J110" s="30">
        <f>J111</f>
        <v>0</v>
      </c>
      <c r="K110" s="31">
        <v>0</v>
      </c>
      <c r="L110" s="31">
        <v>0</v>
      </c>
      <c r="M110" s="31">
        <v>0</v>
      </c>
    </row>
    <row r="111" spans="1:13" ht="40.799999999999997" x14ac:dyDescent="0.3">
      <c r="A111" s="81">
        <v>69</v>
      </c>
      <c r="B111" s="74" t="s">
        <v>31</v>
      </c>
      <c r="C111" s="73" t="s">
        <v>62</v>
      </c>
      <c r="D111" s="73" t="s">
        <v>43</v>
      </c>
      <c r="E111" s="71">
        <v>741</v>
      </c>
      <c r="F111" s="54" t="s">
        <v>17</v>
      </c>
      <c r="G111" s="30">
        <f t="shared" si="38"/>
        <v>0</v>
      </c>
      <c r="H111" s="30">
        <v>0</v>
      </c>
      <c r="I111" s="30">
        <v>0</v>
      </c>
      <c r="J111" s="30">
        <v>0</v>
      </c>
      <c r="K111" s="31">
        <v>0</v>
      </c>
      <c r="L111" s="31">
        <v>0</v>
      </c>
      <c r="M111" s="31">
        <v>0</v>
      </c>
    </row>
    <row r="112" spans="1:13" ht="40.799999999999997" x14ac:dyDescent="0.3">
      <c r="A112" s="81">
        <v>70</v>
      </c>
      <c r="B112" s="74" t="s">
        <v>32</v>
      </c>
      <c r="C112" s="73" t="s">
        <v>62</v>
      </c>
      <c r="D112" s="73" t="s">
        <v>43</v>
      </c>
      <c r="E112" s="54" t="s">
        <v>17</v>
      </c>
      <c r="F112" s="54" t="s">
        <v>17</v>
      </c>
      <c r="G112" s="30">
        <f t="shared" si="38"/>
        <v>0</v>
      </c>
      <c r="H112" s="30">
        <f>H113</f>
        <v>0</v>
      </c>
      <c r="I112" s="30">
        <f>I113</f>
        <v>0</v>
      </c>
      <c r="J112" s="30">
        <f>J113</f>
        <v>0</v>
      </c>
      <c r="K112" s="31">
        <v>0</v>
      </c>
      <c r="L112" s="31">
        <v>0</v>
      </c>
      <c r="M112" s="31">
        <v>0</v>
      </c>
    </row>
    <row r="113" spans="1:13" ht="40.799999999999997" x14ac:dyDescent="0.3">
      <c r="A113" s="81">
        <v>71</v>
      </c>
      <c r="B113" s="74" t="s">
        <v>33</v>
      </c>
      <c r="C113" s="73" t="s">
        <v>62</v>
      </c>
      <c r="D113" s="73" t="s">
        <v>43</v>
      </c>
      <c r="E113" s="71">
        <v>741</v>
      </c>
      <c r="F113" s="54" t="s">
        <v>17</v>
      </c>
      <c r="G113" s="30">
        <f t="shared" si="38"/>
        <v>0</v>
      </c>
      <c r="H113" s="30">
        <v>0</v>
      </c>
      <c r="I113" s="30">
        <v>0</v>
      </c>
      <c r="J113" s="30">
        <v>0</v>
      </c>
      <c r="K113" s="31">
        <v>0</v>
      </c>
      <c r="L113" s="31">
        <v>0</v>
      </c>
      <c r="M113" s="31">
        <v>0</v>
      </c>
    </row>
    <row r="114" spans="1:13" ht="40.799999999999997" x14ac:dyDescent="0.3">
      <c r="A114" s="81">
        <v>72</v>
      </c>
      <c r="B114" s="74" t="s">
        <v>34</v>
      </c>
      <c r="C114" s="73" t="s">
        <v>62</v>
      </c>
      <c r="D114" s="73" t="s">
        <v>43</v>
      </c>
      <c r="E114" s="54" t="s">
        <v>17</v>
      </c>
      <c r="F114" s="54" t="s">
        <v>17</v>
      </c>
      <c r="G114" s="30">
        <f t="shared" si="38"/>
        <v>0</v>
      </c>
      <c r="H114" s="30">
        <f>H115</f>
        <v>0</v>
      </c>
      <c r="I114" s="30">
        <f>I115</f>
        <v>0</v>
      </c>
      <c r="J114" s="30">
        <f>J115</f>
        <v>0</v>
      </c>
      <c r="K114" s="31">
        <v>0</v>
      </c>
      <c r="L114" s="31">
        <v>0</v>
      </c>
      <c r="M114" s="31">
        <v>0</v>
      </c>
    </row>
    <row r="115" spans="1:13" ht="63.75" customHeight="1" x14ac:dyDescent="0.3">
      <c r="A115" s="81">
        <v>73</v>
      </c>
      <c r="B115" s="74" t="s">
        <v>35</v>
      </c>
      <c r="C115" s="73" t="s">
        <v>62</v>
      </c>
      <c r="D115" s="73" t="s">
        <v>43</v>
      </c>
      <c r="E115" s="71">
        <v>741</v>
      </c>
      <c r="F115" s="54" t="s">
        <v>17</v>
      </c>
      <c r="G115" s="30">
        <f t="shared" si="38"/>
        <v>0</v>
      </c>
      <c r="H115" s="30">
        <v>0</v>
      </c>
      <c r="I115" s="30">
        <v>0</v>
      </c>
      <c r="J115" s="30">
        <v>0</v>
      </c>
      <c r="K115" s="31">
        <v>0</v>
      </c>
      <c r="L115" s="31">
        <v>0</v>
      </c>
      <c r="M115" s="31">
        <v>0</v>
      </c>
    </row>
    <row r="116" spans="1:13" ht="40.799999999999997" x14ac:dyDescent="0.3">
      <c r="A116" s="81">
        <v>74</v>
      </c>
      <c r="B116" s="74" t="s">
        <v>36</v>
      </c>
      <c r="C116" s="73" t="s">
        <v>46</v>
      </c>
      <c r="D116" s="73" t="s">
        <v>41</v>
      </c>
      <c r="E116" s="71">
        <v>739</v>
      </c>
      <c r="F116" s="54" t="s">
        <v>17</v>
      </c>
      <c r="G116" s="30">
        <f t="shared" si="38"/>
        <v>754995</v>
      </c>
      <c r="H116" s="30">
        <f>H117+H118+H119+H120+H121</f>
        <v>0</v>
      </c>
      <c r="I116" s="30">
        <v>150995</v>
      </c>
      <c r="J116" s="30">
        <f>J117+J118+J119+J120+J121</f>
        <v>151000</v>
      </c>
      <c r="K116" s="30">
        <f>K117+K118+K119+K120+K121</f>
        <v>151000</v>
      </c>
      <c r="L116" s="30">
        <f>L117+L118+L119+L120+L121</f>
        <v>151000</v>
      </c>
      <c r="M116" s="30">
        <f>M117+M118+M119+M120+M121</f>
        <v>151000</v>
      </c>
    </row>
    <row r="117" spans="1:13" ht="40.799999999999997" x14ac:dyDescent="0.3">
      <c r="A117" s="81">
        <v>75</v>
      </c>
      <c r="B117" s="20" t="s">
        <v>37</v>
      </c>
      <c r="C117" s="73" t="s">
        <v>62</v>
      </c>
      <c r="D117" s="73" t="s">
        <v>43</v>
      </c>
      <c r="E117" s="71">
        <v>741</v>
      </c>
      <c r="F117" s="54" t="s">
        <v>17</v>
      </c>
      <c r="G117" s="30">
        <f t="shared" si="38"/>
        <v>0</v>
      </c>
      <c r="H117" s="30">
        <v>0</v>
      </c>
      <c r="I117" s="30">
        <v>0</v>
      </c>
      <c r="J117" s="30">
        <v>0</v>
      </c>
      <c r="K117" s="31">
        <v>0</v>
      </c>
      <c r="L117" s="31">
        <v>0</v>
      </c>
      <c r="M117" s="31">
        <v>0</v>
      </c>
    </row>
    <row r="118" spans="1:13" ht="40.799999999999997" x14ac:dyDescent="0.3">
      <c r="A118" s="81">
        <v>76</v>
      </c>
      <c r="B118" s="74" t="s">
        <v>38</v>
      </c>
      <c r="C118" s="73" t="s">
        <v>62</v>
      </c>
      <c r="D118" s="73" t="s">
        <v>43</v>
      </c>
      <c r="E118" s="71">
        <v>741</v>
      </c>
      <c r="F118" s="54" t="s">
        <v>17</v>
      </c>
      <c r="G118" s="30">
        <f t="shared" si="38"/>
        <v>0</v>
      </c>
      <c r="H118" s="30">
        <v>0</v>
      </c>
      <c r="I118" s="30">
        <v>0</v>
      </c>
      <c r="J118" s="30">
        <v>0</v>
      </c>
      <c r="K118" s="31">
        <v>0</v>
      </c>
      <c r="L118" s="31">
        <v>0</v>
      </c>
      <c r="M118" s="31">
        <v>0</v>
      </c>
    </row>
    <row r="119" spans="1:13" ht="36" customHeight="1" x14ac:dyDescent="0.3">
      <c r="A119" s="81">
        <v>77</v>
      </c>
      <c r="B119" s="74" t="s">
        <v>39</v>
      </c>
      <c r="C119" s="73" t="s">
        <v>62</v>
      </c>
      <c r="D119" s="73" t="s">
        <v>43</v>
      </c>
      <c r="E119" s="54" t="s">
        <v>17</v>
      </c>
      <c r="F119" s="54" t="s">
        <v>17</v>
      </c>
      <c r="G119" s="30">
        <f t="shared" si="38"/>
        <v>0</v>
      </c>
      <c r="H119" s="30">
        <v>0</v>
      </c>
      <c r="I119" s="30">
        <v>0</v>
      </c>
      <c r="J119" s="30">
        <v>0</v>
      </c>
      <c r="K119" s="31">
        <v>0</v>
      </c>
      <c r="L119" s="31">
        <v>0</v>
      </c>
      <c r="M119" s="31">
        <v>0</v>
      </c>
    </row>
    <row r="120" spans="1:13" ht="40.799999999999997" x14ac:dyDescent="0.3">
      <c r="A120" s="81">
        <v>78</v>
      </c>
      <c r="B120" s="74" t="s">
        <v>48</v>
      </c>
      <c r="C120" s="73" t="s">
        <v>62</v>
      </c>
      <c r="D120" s="73" t="s">
        <v>43</v>
      </c>
      <c r="E120" s="54" t="s">
        <v>17</v>
      </c>
      <c r="F120" s="54" t="s">
        <v>17</v>
      </c>
      <c r="G120" s="30">
        <f t="shared" si="38"/>
        <v>0</v>
      </c>
      <c r="H120" s="30">
        <v>0</v>
      </c>
      <c r="I120" s="30">
        <v>0</v>
      </c>
      <c r="J120" s="30">
        <v>0</v>
      </c>
      <c r="K120" s="31">
        <v>0</v>
      </c>
      <c r="L120" s="31">
        <v>0</v>
      </c>
      <c r="M120" s="31">
        <v>0</v>
      </c>
    </row>
    <row r="121" spans="1:13" ht="40.799999999999997" x14ac:dyDescent="0.3">
      <c r="A121" s="81">
        <v>79</v>
      </c>
      <c r="B121" s="74" t="s">
        <v>40</v>
      </c>
      <c r="C121" s="73" t="s">
        <v>46</v>
      </c>
      <c r="D121" s="73" t="s">
        <v>41</v>
      </c>
      <c r="E121" s="71">
        <v>739</v>
      </c>
      <c r="F121" s="54" t="s">
        <v>113</v>
      </c>
      <c r="G121" s="30">
        <f t="shared" si="38"/>
        <v>754995</v>
      </c>
      <c r="H121" s="30">
        <v>0</v>
      </c>
      <c r="I121" s="30">
        <v>150995</v>
      </c>
      <c r="J121" s="30">
        <v>151000</v>
      </c>
      <c r="K121" s="31">
        <v>151000</v>
      </c>
      <c r="L121" s="31">
        <v>151000</v>
      </c>
      <c r="M121" s="31">
        <v>151000</v>
      </c>
    </row>
    <row r="122" spans="1:13" ht="17.25" customHeight="1" x14ac:dyDescent="0.3">
      <c r="A122" s="164">
        <v>80</v>
      </c>
      <c r="B122" s="179" t="s">
        <v>117</v>
      </c>
      <c r="C122" s="173" t="s">
        <v>118</v>
      </c>
      <c r="D122" s="72" t="s">
        <v>1</v>
      </c>
      <c r="E122" s="71">
        <v>706</v>
      </c>
      <c r="F122" s="54" t="s">
        <v>121</v>
      </c>
      <c r="G122" s="30">
        <f t="shared" si="38"/>
        <v>132980108.03999999</v>
      </c>
      <c r="H122" s="30">
        <f>H130</f>
        <v>0</v>
      </c>
      <c r="I122" s="30">
        <f t="shared" ref="I122:M125" si="48">I130</f>
        <v>0</v>
      </c>
      <c r="J122" s="30">
        <f t="shared" si="48"/>
        <v>0</v>
      </c>
      <c r="K122" s="30">
        <f t="shared" si="48"/>
        <v>132980108.03999999</v>
      </c>
      <c r="L122" s="30">
        <f t="shared" si="48"/>
        <v>0</v>
      </c>
      <c r="M122" s="30">
        <f t="shared" si="48"/>
        <v>0</v>
      </c>
    </row>
    <row r="123" spans="1:13" ht="21.75" customHeight="1" x14ac:dyDescent="0.3">
      <c r="A123" s="165"/>
      <c r="B123" s="180"/>
      <c r="C123" s="174"/>
      <c r="D123" s="72" t="s">
        <v>119</v>
      </c>
      <c r="E123" s="71">
        <v>706</v>
      </c>
      <c r="F123" s="54" t="s">
        <v>17</v>
      </c>
      <c r="G123" s="30">
        <f t="shared" si="38"/>
        <v>109043688.59999999</v>
      </c>
      <c r="H123" s="30">
        <f t="shared" ref="H123:L125" si="49">H131</f>
        <v>0</v>
      </c>
      <c r="I123" s="30">
        <f t="shared" si="49"/>
        <v>0</v>
      </c>
      <c r="J123" s="30">
        <f t="shared" si="49"/>
        <v>0</v>
      </c>
      <c r="K123" s="30">
        <f t="shared" si="49"/>
        <v>109043688.59999999</v>
      </c>
      <c r="L123" s="30">
        <f t="shared" si="49"/>
        <v>0</v>
      </c>
      <c r="M123" s="30">
        <f t="shared" si="48"/>
        <v>0</v>
      </c>
    </row>
    <row r="124" spans="1:13" ht="21.75" customHeight="1" x14ac:dyDescent="0.3">
      <c r="A124" s="165"/>
      <c r="B124" s="180"/>
      <c r="C124" s="174"/>
      <c r="D124" s="72" t="s">
        <v>13</v>
      </c>
      <c r="E124" s="71">
        <v>706</v>
      </c>
      <c r="F124" s="54" t="s">
        <v>17</v>
      </c>
      <c r="G124" s="30">
        <f t="shared" si="38"/>
        <v>23936419.440000001</v>
      </c>
      <c r="H124" s="30">
        <f t="shared" si="49"/>
        <v>0</v>
      </c>
      <c r="I124" s="30">
        <f t="shared" si="49"/>
        <v>0</v>
      </c>
      <c r="J124" s="30">
        <f t="shared" si="49"/>
        <v>0</v>
      </c>
      <c r="K124" s="30">
        <f t="shared" si="49"/>
        <v>23936419.440000001</v>
      </c>
      <c r="L124" s="30">
        <f t="shared" si="49"/>
        <v>0</v>
      </c>
      <c r="M124" s="30">
        <f t="shared" si="48"/>
        <v>0</v>
      </c>
    </row>
    <row r="125" spans="1:13" ht="33.75" customHeight="1" x14ac:dyDescent="0.3">
      <c r="A125" s="166"/>
      <c r="B125" s="180"/>
      <c r="C125" s="174"/>
      <c r="D125" s="72" t="s">
        <v>41</v>
      </c>
      <c r="E125" s="71">
        <v>706</v>
      </c>
      <c r="F125" s="54" t="s">
        <v>17</v>
      </c>
      <c r="G125" s="30">
        <f t="shared" si="38"/>
        <v>0</v>
      </c>
      <c r="H125" s="30">
        <f t="shared" si="49"/>
        <v>0</v>
      </c>
      <c r="I125" s="30">
        <f t="shared" si="49"/>
        <v>0</v>
      </c>
      <c r="J125" s="30">
        <f t="shared" si="49"/>
        <v>0</v>
      </c>
      <c r="K125" s="30">
        <f t="shared" si="49"/>
        <v>0</v>
      </c>
      <c r="L125" s="30">
        <f t="shared" si="49"/>
        <v>0</v>
      </c>
      <c r="M125" s="30">
        <f t="shared" si="48"/>
        <v>0</v>
      </c>
    </row>
    <row r="126" spans="1:13" ht="18" customHeight="1" x14ac:dyDescent="0.3">
      <c r="A126" s="164">
        <v>81</v>
      </c>
      <c r="B126" s="167" t="s">
        <v>114</v>
      </c>
      <c r="C126" s="173" t="s">
        <v>118</v>
      </c>
      <c r="D126" s="72" t="s">
        <v>1</v>
      </c>
      <c r="E126" s="71">
        <v>706</v>
      </c>
      <c r="F126" s="54" t="s">
        <v>17</v>
      </c>
      <c r="G126" s="30">
        <f t="shared" si="38"/>
        <v>132980108.03999999</v>
      </c>
      <c r="H126" s="30">
        <f t="shared" ref="H126:M133" si="50">H130</f>
        <v>0</v>
      </c>
      <c r="I126" s="30">
        <f t="shared" si="50"/>
        <v>0</v>
      </c>
      <c r="J126" s="30">
        <f t="shared" si="50"/>
        <v>0</v>
      </c>
      <c r="K126" s="30">
        <f t="shared" si="50"/>
        <v>132980108.03999999</v>
      </c>
      <c r="L126" s="30">
        <f t="shared" si="50"/>
        <v>0</v>
      </c>
      <c r="M126" s="30">
        <f t="shared" si="50"/>
        <v>0</v>
      </c>
    </row>
    <row r="127" spans="1:13" ht="20.399999999999999" x14ac:dyDescent="0.3">
      <c r="A127" s="165"/>
      <c r="B127" s="168"/>
      <c r="C127" s="174"/>
      <c r="D127" s="72" t="s">
        <v>119</v>
      </c>
      <c r="E127" s="71">
        <v>706</v>
      </c>
      <c r="F127" s="54" t="s">
        <v>17</v>
      </c>
      <c r="G127" s="30">
        <f t="shared" si="38"/>
        <v>109043688.59999999</v>
      </c>
      <c r="H127" s="30">
        <f t="shared" si="50"/>
        <v>0</v>
      </c>
      <c r="I127" s="30">
        <f t="shared" si="50"/>
        <v>0</v>
      </c>
      <c r="J127" s="30">
        <f t="shared" si="50"/>
        <v>0</v>
      </c>
      <c r="K127" s="30">
        <f t="shared" si="50"/>
        <v>109043688.59999999</v>
      </c>
      <c r="L127" s="30">
        <f t="shared" si="50"/>
        <v>0</v>
      </c>
      <c r="M127" s="30">
        <f t="shared" si="50"/>
        <v>0</v>
      </c>
    </row>
    <row r="128" spans="1:13" x14ac:dyDescent="0.3">
      <c r="A128" s="165"/>
      <c r="B128" s="168"/>
      <c r="C128" s="174"/>
      <c r="D128" s="72" t="s">
        <v>13</v>
      </c>
      <c r="E128" s="71">
        <v>706</v>
      </c>
      <c r="F128" s="54" t="s">
        <v>17</v>
      </c>
      <c r="G128" s="30">
        <f t="shared" si="38"/>
        <v>23936419.440000001</v>
      </c>
      <c r="H128" s="30">
        <f t="shared" si="50"/>
        <v>0</v>
      </c>
      <c r="I128" s="30">
        <f t="shared" si="50"/>
        <v>0</v>
      </c>
      <c r="J128" s="30">
        <f t="shared" si="50"/>
        <v>0</v>
      </c>
      <c r="K128" s="30">
        <f t="shared" si="50"/>
        <v>23936419.440000001</v>
      </c>
      <c r="L128" s="30">
        <f t="shared" si="50"/>
        <v>0</v>
      </c>
      <c r="M128" s="30">
        <f t="shared" si="50"/>
        <v>0</v>
      </c>
    </row>
    <row r="129" spans="1:13" ht="30.6" x14ac:dyDescent="0.3">
      <c r="A129" s="166"/>
      <c r="B129" s="169"/>
      <c r="C129" s="175"/>
      <c r="D129" s="72" t="s">
        <v>41</v>
      </c>
      <c r="E129" s="71">
        <v>706</v>
      </c>
      <c r="F129" s="54" t="s">
        <v>17</v>
      </c>
      <c r="G129" s="30">
        <f t="shared" si="38"/>
        <v>0</v>
      </c>
      <c r="H129" s="30">
        <f t="shared" si="50"/>
        <v>0</v>
      </c>
      <c r="I129" s="30">
        <f t="shared" si="50"/>
        <v>0</v>
      </c>
      <c r="J129" s="30">
        <f t="shared" si="50"/>
        <v>0</v>
      </c>
      <c r="K129" s="30">
        <f t="shared" si="50"/>
        <v>0</v>
      </c>
      <c r="L129" s="30">
        <f t="shared" si="50"/>
        <v>0</v>
      </c>
      <c r="M129" s="30">
        <f t="shared" si="50"/>
        <v>0</v>
      </c>
    </row>
    <row r="130" spans="1:13" ht="15" customHeight="1" x14ac:dyDescent="0.3">
      <c r="A130" s="164">
        <v>82</v>
      </c>
      <c r="B130" s="167" t="s">
        <v>115</v>
      </c>
      <c r="C130" s="173" t="s">
        <v>118</v>
      </c>
      <c r="D130" s="72" t="s">
        <v>1</v>
      </c>
      <c r="E130" s="71">
        <v>706</v>
      </c>
      <c r="F130" s="54" t="s">
        <v>17</v>
      </c>
      <c r="G130" s="30">
        <f t="shared" si="38"/>
        <v>132980108.03999999</v>
      </c>
      <c r="H130" s="30">
        <f>H134</f>
        <v>0</v>
      </c>
      <c r="I130" s="30">
        <f t="shared" si="50"/>
        <v>0</v>
      </c>
      <c r="J130" s="30">
        <f t="shared" si="50"/>
        <v>0</v>
      </c>
      <c r="K130" s="30">
        <f t="shared" si="50"/>
        <v>132980108.03999999</v>
      </c>
      <c r="L130" s="30">
        <f t="shared" si="50"/>
        <v>0</v>
      </c>
      <c r="M130" s="30">
        <f t="shared" si="50"/>
        <v>0</v>
      </c>
    </row>
    <row r="131" spans="1:13" ht="20.399999999999999" x14ac:dyDescent="0.3">
      <c r="A131" s="165"/>
      <c r="B131" s="168"/>
      <c r="C131" s="174"/>
      <c r="D131" s="72" t="s">
        <v>119</v>
      </c>
      <c r="E131" s="71">
        <v>706</v>
      </c>
      <c r="F131" s="54" t="s">
        <v>17</v>
      </c>
      <c r="G131" s="30">
        <f t="shared" si="38"/>
        <v>109043688.59999999</v>
      </c>
      <c r="H131" s="30">
        <f t="shared" ref="H131:H133" si="51">H135</f>
        <v>0</v>
      </c>
      <c r="I131" s="30">
        <f t="shared" si="50"/>
        <v>0</v>
      </c>
      <c r="J131" s="30">
        <f t="shared" si="50"/>
        <v>0</v>
      </c>
      <c r="K131" s="30">
        <f t="shared" si="50"/>
        <v>109043688.59999999</v>
      </c>
      <c r="L131" s="30">
        <f t="shared" si="50"/>
        <v>0</v>
      </c>
      <c r="M131" s="30">
        <f t="shared" si="50"/>
        <v>0</v>
      </c>
    </row>
    <row r="132" spans="1:13" x14ac:dyDescent="0.3">
      <c r="A132" s="165"/>
      <c r="B132" s="168"/>
      <c r="C132" s="174"/>
      <c r="D132" s="72" t="s">
        <v>13</v>
      </c>
      <c r="E132" s="71">
        <v>706</v>
      </c>
      <c r="F132" s="54" t="s">
        <v>17</v>
      </c>
      <c r="G132" s="30">
        <f t="shared" si="38"/>
        <v>23936419.440000001</v>
      </c>
      <c r="H132" s="30">
        <f t="shared" si="51"/>
        <v>0</v>
      </c>
      <c r="I132" s="30">
        <f t="shared" si="50"/>
        <v>0</v>
      </c>
      <c r="J132" s="30">
        <f t="shared" si="50"/>
        <v>0</v>
      </c>
      <c r="K132" s="30">
        <f t="shared" si="50"/>
        <v>23936419.440000001</v>
      </c>
      <c r="L132" s="30">
        <f t="shared" si="50"/>
        <v>0</v>
      </c>
      <c r="M132" s="30">
        <f t="shared" si="50"/>
        <v>0</v>
      </c>
    </row>
    <row r="133" spans="1:13" ht="30.6" x14ac:dyDescent="0.3">
      <c r="A133" s="166"/>
      <c r="B133" s="169"/>
      <c r="C133" s="175"/>
      <c r="D133" s="72" t="s">
        <v>41</v>
      </c>
      <c r="E133" s="71">
        <v>706</v>
      </c>
      <c r="F133" s="54" t="s">
        <v>17</v>
      </c>
      <c r="G133" s="30">
        <f t="shared" si="38"/>
        <v>0</v>
      </c>
      <c r="H133" s="30">
        <f t="shared" si="51"/>
        <v>0</v>
      </c>
      <c r="I133" s="30">
        <f t="shared" si="50"/>
        <v>0</v>
      </c>
      <c r="J133" s="30">
        <f t="shared" si="50"/>
        <v>0</v>
      </c>
      <c r="K133" s="30">
        <f t="shared" si="50"/>
        <v>0</v>
      </c>
      <c r="L133" s="30">
        <f t="shared" si="50"/>
        <v>0</v>
      </c>
      <c r="M133" s="30">
        <f t="shared" si="50"/>
        <v>0</v>
      </c>
    </row>
    <row r="134" spans="1:13" ht="16.5" customHeight="1" x14ac:dyDescent="0.3">
      <c r="A134" s="164">
        <v>83</v>
      </c>
      <c r="B134" s="167" t="s">
        <v>116</v>
      </c>
      <c r="C134" s="173" t="s">
        <v>118</v>
      </c>
      <c r="D134" s="72" t="s">
        <v>1</v>
      </c>
      <c r="E134" s="71">
        <v>706</v>
      </c>
      <c r="F134" s="54" t="s">
        <v>121</v>
      </c>
      <c r="G134" s="30">
        <f t="shared" si="38"/>
        <v>132980108.03999999</v>
      </c>
      <c r="H134" s="30">
        <f>H135+H136+H137</f>
        <v>0</v>
      </c>
      <c r="I134" s="30">
        <f t="shared" ref="I134:M134" si="52">I135+I136+I137</f>
        <v>0</v>
      </c>
      <c r="J134" s="30">
        <f t="shared" si="52"/>
        <v>0</v>
      </c>
      <c r="K134" s="30">
        <f t="shared" si="52"/>
        <v>132980108.03999999</v>
      </c>
      <c r="L134" s="30">
        <f t="shared" si="52"/>
        <v>0</v>
      </c>
      <c r="M134" s="30">
        <f t="shared" si="52"/>
        <v>0</v>
      </c>
    </row>
    <row r="135" spans="1:13" ht="20.399999999999999" x14ac:dyDescent="0.3">
      <c r="A135" s="165"/>
      <c r="B135" s="168"/>
      <c r="C135" s="174"/>
      <c r="D135" s="72" t="s">
        <v>119</v>
      </c>
      <c r="E135" s="71">
        <v>706</v>
      </c>
      <c r="F135" s="54" t="s">
        <v>17</v>
      </c>
      <c r="G135" s="30">
        <f t="shared" si="38"/>
        <v>109043688.59999999</v>
      </c>
      <c r="H135" s="30">
        <v>0</v>
      </c>
      <c r="I135" s="30">
        <v>0</v>
      </c>
      <c r="J135" s="30">
        <v>0</v>
      </c>
      <c r="K135" s="31">
        <v>109043688.59999999</v>
      </c>
      <c r="L135" s="31">
        <v>0</v>
      </c>
      <c r="M135" s="31">
        <v>0</v>
      </c>
    </row>
    <row r="136" spans="1:13" x14ac:dyDescent="0.3">
      <c r="A136" s="165"/>
      <c r="B136" s="168"/>
      <c r="C136" s="174"/>
      <c r="D136" s="72" t="s">
        <v>13</v>
      </c>
      <c r="E136" s="71">
        <v>706</v>
      </c>
      <c r="F136" s="54" t="s">
        <v>17</v>
      </c>
      <c r="G136" s="30">
        <f t="shared" si="38"/>
        <v>23936419.440000001</v>
      </c>
      <c r="H136" s="30">
        <v>0</v>
      </c>
      <c r="I136" s="30">
        <v>0</v>
      </c>
      <c r="J136" s="30">
        <v>0</v>
      </c>
      <c r="K136" s="31">
        <v>23936419.440000001</v>
      </c>
      <c r="L136" s="31">
        <v>0</v>
      </c>
      <c r="M136" s="31">
        <v>0</v>
      </c>
    </row>
    <row r="137" spans="1:13" ht="30.6" x14ac:dyDescent="0.3">
      <c r="A137" s="166"/>
      <c r="B137" s="169"/>
      <c r="C137" s="175"/>
      <c r="D137" s="72" t="s">
        <v>41</v>
      </c>
      <c r="E137" s="71">
        <v>706</v>
      </c>
      <c r="F137" s="54" t="s">
        <v>17</v>
      </c>
      <c r="G137" s="30">
        <f t="shared" ref="G137:G141" si="53">H137+I137+J137+K137+L137+M137</f>
        <v>0</v>
      </c>
      <c r="H137" s="30">
        <v>0</v>
      </c>
      <c r="I137" s="30">
        <v>0</v>
      </c>
      <c r="J137" s="30">
        <v>0</v>
      </c>
      <c r="K137" s="31">
        <v>0</v>
      </c>
      <c r="L137" s="31">
        <v>0</v>
      </c>
      <c r="M137" s="31">
        <v>0</v>
      </c>
    </row>
    <row r="138" spans="1:13" x14ac:dyDescent="0.3">
      <c r="A138" s="158">
        <v>84</v>
      </c>
      <c r="B138" s="159" t="s">
        <v>42</v>
      </c>
      <c r="C138" s="194" t="s">
        <v>61</v>
      </c>
      <c r="D138" s="73" t="s">
        <v>1</v>
      </c>
      <c r="E138" s="54" t="s">
        <v>17</v>
      </c>
      <c r="F138" s="54" t="s">
        <v>17</v>
      </c>
      <c r="G138" s="30">
        <f t="shared" si="53"/>
        <v>27202286390.82</v>
      </c>
      <c r="H138" s="30">
        <f>H139+H140+H141</f>
        <v>3791445870.6199999</v>
      </c>
      <c r="I138" s="30">
        <f t="shared" ref="I138:M138" si="54">I139+I140+I141</f>
        <v>4004499715.1599998</v>
      </c>
      <c r="J138" s="30">
        <f t="shared" si="54"/>
        <v>4265044629</v>
      </c>
      <c r="K138" s="30">
        <f t="shared" si="54"/>
        <v>5123647899.04</v>
      </c>
      <c r="L138" s="30">
        <f t="shared" si="54"/>
        <v>4981669294</v>
      </c>
      <c r="M138" s="30">
        <f t="shared" si="54"/>
        <v>5035978983</v>
      </c>
    </row>
    <row r="139" spans="1:13" ht="20.399999999999999" x14ac:dyDescent="0.3">
      <c r="A139" s="158"/>
      <c r="B139" s="159"/>
      <c r="C139" s="194"/>
      <c r="D139" s="72" t="s">
        <v>119</v>
      </c>
      <c r="E139" s="54"/>
      <c r="F139" s="54" t="s">
        <v>17</v>
      </c>
      <c r="G139" s="30">
        <f t="shared" si="53"/>
        <v>109043688.59999999</v>
      </c>
      <c r="H139" s="30">
        <f t="shared" ref="H139:M141" si="55">H9</f>
        <v>0</v>
      </c>
      <c r="I139" s="30">
        <f t="shared" si="55"/>
        <v>0</v>
      </c>
      <c r="J139" s="30">
        <f t="shared" si="55"/>
        <v>0</v>
      </c>
      <c r="K139" s="30">
        <f t="shared" si="55"/>
        <v>109043688.59999999</v>
      </c>
      <c r="L139" s="30">
        <f t="shared" si="55"/>
        <v>0</v>
      </c>
      <c r="M139" s="30">
        <f t="shared" si="55"/>
        <v>0</v>
      </c>
    </row>
    <row r="140" spans="1:13" ht="12.75" customHeight="1" x14ac:dyDescent="0.3">
      <c r="A140" s="158"/>
      <c r="B140" s="159"/>
      <c r="C140" s="194"/>
      <c r="D140" s="73" t="s">
        <v>13</v>
      </c>
      <c r="E140" s="54" t="s">
        <v>17</v>
      </c>
      <c r="F140" s="54" t="s">
        <v>17</v>
      </c>
      <c r="G140" s="30">
        <f t="shared" si="53"/>
        <v>19399755929.84</v>
      </c>
      <c r="H140" s="30">
        <f t="shared" si="55"/>
        <v>2585595100</v>
      </c>
      <c r="I140" s="30">
        <f t="shared" si="55"/>
        <v>2709636417.4000001</v>
      </c>
      <c r="J140" s="30">
        <f t="shared" si="55"/>
        <v>2921008590</v>
      </c>
      <c r="K140" s="30">
        <f t="shared" si="55"/>
        <v>3708358655.4400001</v>
      </c>
      <c r="L140" s="30">
        <f t="shared" si="55"/>
        <v>3710423739</v>
      </c>
      <c r="M140" s="30">
        <f t="shared" si="55"/>
        <v>3764733428</v>
      </c>
    </row>
    <row r="141" spans="1:13" ht="30.6" x14ac:dyDescent="0.3">
      <c r="A141" s="158"/>
      <c r="B141" s="159"/>
      <c r="C141" s="194"/>
      <c r="D141" s="73" t="s">
        <v>41</v>
      </c>
      <c r="E141" s="54" t="s">
        <v>17</v>
      </c>
      <c r="F141" s="54" t="s">
        <v>17</v>
      </c>
      <c r="G141" s="30">
        <f t="shared" si="53"/>
        <v>7693486772.3799992</v>
      </c>
      <c r="H141" s="30">
        <f t="shared" si="55"/>
        <v>1205850770.6199999</v>
      </c>
      <c r="I141" s="30">
        <f t="shared" si="55"/>
        <v>1294863297.7599998</v>
      </c>
      <c r="J141" s="30">
        <f t="shared" si="55"/>
        <v>1344036039</v>
      </c>
      <c r="K141" s="30">
        <f t="shared" si="55"/>
        <v>1306245555</v>
      </c>
      <c r="L141" s="30">
        <f t="shared" si="55"/>
        <v>1271245555</v>
      </c>
      <c r="M141" s="30">
        <f t="shared" si="55"/>
        <v>1271245555</v>
      </c>
    </row>
    <row r="142" spans="1:13" x14ac:dyDescent="0.3">
      <c r="A142" s="5"/>
      <c r="B142" s="11"/>
      <c r="C142" s="76"/>
      <c r="D142" s="76"/>
      <c r="E142" s="6"/>
      <c r="F142" s="53"/>
      <c r="G142" s="7"/>
      <c r="H142" s="7"/>
      <c r="I142" s="7"/>
      <c r="J142" s="7"/>
      <c r="L142" s="7"/>
      <c r="M142" s="7"/>
    </row>
    <row r="143" spans="1:13" x14ac:dyDescent="0.3">
      <c r="A143" s="8"/>
      <c r="B143" s="202" t="s">
        <v>70</v>
      </c>
      <c r="C143" s="202"/>
      <c r="D143" s="202"/>
      <c r="E143" s="2"/>
      <c r="F143" s="57"/>
      <c r="G143" s="162" t="s">
        <v>71</v>
      </c>
      <c r="H143" s="162"/>
      <c r="I143" s="162"/>
      <c r="J143" s="162"/>
      <c r="L143" s="27"/>
      <c r="M143" s="27"/>
    </row>
    <row r="144" spans="1:13" x14ac:dyDescent="0.3">
      <c r="A144" s="8"/>
      <c r="B144" s="202"/>
      <c r="C144" s="202"/>
      <c r="D144" s="202"/>
      <c r="E144" s="2"/>
      <c r="F144" s="57"/>
      <c r="G144" s="162"/>
      <c r="H144" s="162"/>
      <c r="I144" s="162"/>
      <c r="J144" s="162"/>
      <c r="L144" s="27"/>
      <c r="M144" s="27"/>
    </row>
    <row r="145" spans="1:13" x14ac:dyDescent="0.3">
      <c r="A145" s="8"/>
      <c r="B145" s="29" t="s">
        <v>98</v>
      </c>
      <c r="C145" s="9"/>
      <c r="D145" s="10"/>
      <c r="E145" s="2"/>
      <c r="F145" s="57"/>
      <c r="G145" s="2"/>
      <c r="H145" s="2"/>
      <c r="I145" s="2"/>
      <c r="J145" s="2"/>
      <c r="L145" s="2"/>
      <c r="M145" s="2"/>
    </row>
    <row r="146" spans="1:13" x14ac:dyDescent="0.3">
      <c r="A146" s="8"/>
      <c r="B146" s="9"/>
      <c r="C146" s="9"/>
      <c r="D146" s="10"/>
      <c r="E146" s="2"/>
      <c r="F146" s="57"/>
      <c r="G146" s="33"/>
      <c r="H146" s="33"/>
      <c r="I146" s="33"/>
      <c r="J146" s="33"/>
      <c r="K146" s="33"/>
      <c r="L146" s="33"/>
      <c r="M146" s="33"/>
    </row>
    <row r="147" spans="1:13" x14ac:dyDescent="0.3">
      <c r="A147" s="8"/>
      <c r="B147" s="76"/>
      <c r="C147" s="76"/>
      <c r="D147" s="10"/>
      <c r="E147" s="2"/>
      <c r="F147" s="57"/>
      <c r="G147" s="33"/>
      <c r="H147" s="33"/>
      <c r="I147" s="33"/>
      <c r="J147" s="33"/>
      <c r="K147" s="33"/>
      <c r="L147" s="33"/>
      <c r="M147" s="33"/>
    </row>
    <row r="148" spans="1:13" x14ac:dyDescent="0.3">
      <c r="A148" s="12"/>
      <c r="B148" s="13"/>
      <c r="C148" s="13"/>
      <c r="D148" s="14"/>
      <c r="E148" s="1"/>
      <c r="F148" s="58"/>
      <c r="G148" s="33"/>
      <c r="H148" s="33"/>
      <c r="I148" s="33"/>
      <c r="J148" s="33"/>
      <c r="K148" s="33"/>
      <c r="L148" s="33"/>
      <c r="M148" s="33"/>
    </row>
    <row r="149" spans="1:13" x14ac:dyDescent="0.3">
      <c r="A149" s="12"/>
      <c r="B149" s="13"/>
      <c r="C149" s="13"/>
      <c r="D149" s="14"/>
      <c r="E149" s="1"/>
      <c r="F149" s="58"/>
      <c r="G149" s="1"/>
      <c r="H149" s="1"/>
      <c r="I149" s="1"/>
      <c r="J149" s="1"/>
      <c r="L149" s="1"/>
      <c r="M149" s="1"/>
    </row>
  </sheetData>
  <sheetProtection selectLockedCells="1" selectUnlockedCells="1"/>
  <autoFilter ref="A6:L141"/>
  <mergeCells count="72">
    <mergeCell ref="B143:D144"/>
    <mergeCell ref="G143:J144"/>
    <mergeCell ref="A134:A137"/>
    <mergeCell ref="B134:B137"/>
    <mergeCell ref="C134:C137"/>
    <mergeCell ref="A138:A141"/>
    <mergeCell ref="B138:B141"/>
    <mergeCell ref="C138:C141"/>
    <mergeCell ref="A126:A129"/>
    <mergeCell ref="B126:B129"/>
    <mergeCell ref="C126:C129"/>
    <mergeCell ref="A130:A133"/>
    <mergeCell ref="B130:B133"/>
    <mergeCell ref="C130:C133"/>
    <mergeCell ref="A67:A69"/>
    <mergeCell ref="B67:B69"/>
    <mergeCell ref="C67:C69"/>
    <mergeCell ref="A122:A125"/>
    <mergeCell ref="B122:B125"/>
    <mergeCell ref="C122:C125"/>
    <mergeCell ref="A58:A60"/>
    <mergeCell ref="B58:B60"/>
    <mergeCell ref="C58:C60"/>
    <mergeCell ref="A64:A66"/>
    <mergeCell ref="B64:B66"/>
    <mergeCell ref="C64:C66"/>
    <mergeCell ref="A52:A54"/>
    <mergeCell ref="B52:B54"/>
    <mergeCell ref="C52:C54"/>
    <mergeCell ref="A55:A57"/>
    <mergeCell ref="B55:B57"/>
    <mergeCell ref="C55:C57"/>
    <mergeCell ref="A40:A42"/>
    <mergeCell ref="B40:B42"/>
    <mergeCell ref="C40:C42"/>
    <mergeCell ref="A43:A45"/>
    <mergeCell ref="B43:B45"/>
    <mergeCell ref="C43:C45"/>
    <mergeCell ref="A34:A36"/>
    <mergeCell ref="B34:B36"/>
    <mergeCell ref="C34:C36"/>
    <mergeCell ref="A37:A39"/>
    <mergeCell ref="B37:B39"/>
    <mergeCell ref="C37:C39"/>
    <mergeCell ref="A23:A25"/>
    <mergeCell ref="B23:B25"/>
    <mergeCell ref="C23:C25"/>
    <mergeCell ref="A30:A33"/>
    <mergeCell ref="B30:B33"/>
    <mergeCell ref="C30:C33"/>
    <mergeCell ref="A16:A17"/>
    <mergeCell ref="B16:B17"/>
    <mergeCell ref="C16:C17"/>
    <mergeCell ref="A20:A22"/>
    <mergeCell ref="B20:B22"/>
    <mergeCell ref="C20:C22"/>
    <mergeCell ref="A8:A11"/>
    <mergeCell ref="B8:B11"/>
    <mergeCell ref="C8:C11"/>
    <mergeCell ref="A12:A15"/>
    <mergeCell ref="B12:B15"/>
    <mergeCell ref="C12:C15"/>
    <mergeCell ref="G1:J1"/>
    <mergeCell ref="G2:L2"/>
    <mergeCell ref="A3:L3"/>
    <mergeCell ref="J4:L4"/>
    <mergeCell ref="A5:A6"/>
    <mergeCell ref="B5:B6"/>
    <mergeCell ref="C5:C6"/>
    <mergeCell ref="D5:D6"/>
    <mergeCell ref="E5:F5"/>
    <mergeCell ref="G5:M5"/>
  </mergeCells>
  <pageMargins left="0.23622047244094491" right="0.19685039370078741" top="0.43307086614173229" bottom="0.35433070866141736" header="0.23622047244094491" footer="0.19685039370078741"/>
  <pageSetup paperSize="9" scale="85" orientation="landscape" r:id="rId1"/>
  <headerFooter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Приложение2 (2)</vt:lpstr>
      <vt:lpstr>Приложение2</vt:lpstr>
      <vt:lpstr>старая субвенция</vt:lpstr>
      <vt:lpstr>Приложение2!Заголовки_для_печати</vt:lpstr>
      <vt:lpstr>'Приложение2 (2)'!Заголовки_для_печати</vt:lpstr>
      <vt:lpstr>'старая субвенция'!Заголовки_для_печати</vt:lpstr>
      <vt:lpstr>Приложение2!Область_печати</vt:lpstr>
      <vt:lpstr>'Приложение2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2021-07-06T11:23:37Z</dcterms:modified>
</cp:coreProperties>
</file>