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75" windowWidth="21840" windowHeight="12600" activeTab="1"/>
  </bookViews>
  <sheets>
    <sheet name="Расходы (96)" sheetId="1" r:id="rId1"/>
    <sheet name="Показатели(96)" sheetId="2" r:id="rId2"/>
  </sheets>
  <definedNames>
    <definedName name="_xlnm._FilterDatabase" localSheetId="1" hidden="1">'Показатели(96)'!$A$6:$AF$108</definedName>
    <definedName name="_xlnm._FilterDatabase" localSheetId="0" hidden="1">'Расходы (96)'!$A$6:$T$46</definedName>
    <definedName name="_xlnm.Print_Titles" localSheetId="1">'Показатели(96)'!$6:$10</definedName>
    <definedName name="_xlnm.Print_Titles" localSheetId="0">'Расходы (96)'!$5:$7</definedName>
    <definedName name="_xlnm.Print_Area" localSheetId="1">'Показатели(96)'!$A$1:$AF$110</definedName>
    <definedName name="_xlnm.Print_Area" localSheetId="0">'Расходы (96)'!$A$1:$U$149</definedName>
  </definedNames>
  <calcPr calcId="145621"/>
</workbook>
</file>

<file path=xl/calcChain.xml><?xml version="1.0" encoding="utf-8"?>
<calcChain xmlns="http://schemas.openxmlformats.org/spreadsheetml/2006/main">
  <c r="Y79" i="2" l="1"/>
  <c r="AF56" i="2"/>
  <c r="AF46" i="2"/>
  <c r="AF23" i="2"/>
  <c r="AD42" i="2"/>
  <c r="V98" i="2"/>
  <c r="AF35" i="2" l="1"/>
  <c r="G98" i="2"/>
  <c r="H98" i="2"/>
  <c r="I98" i="2"/>
  <c r="J98" i="2"/>
  <c r="K98" i="2"/>
  <c r="L98" i="2"/>
  <c r="M98" i="2"/>
  <c r="N98" i="2"/>
  <c r="O98" i="2"/>
  <c r="P98" i="2"/>
  <c r="Q98" i="2"/>
  <c r="R98" i="2"/>
  <c r="S98" i="2"/>
  <c r="T98" i="2"/>
  <c r="U98" i="2"/>
  <c r="W98" i="2"/>
  <c r="Y98" i="2"/>
  <c r="Z98" i="2"/>
  <c r="AA98" i="2"/>
  <c r="AB98" i="2"/>
  <c r="AC98" i="2"/>
  <c r="AD98" i="2"/>
  <c r="AE98" i="2"/>
  <c r="F98" i="2"/>
  <c r="AE20" i="2" l="1"/>
  <c r="P105" i="1" l="1"/>
  <c r="P104" i="1"/>
  <c r="P103" i="1"/>
  <c r="R72" i="1" l="1"/>
  <c r="R64" i="1" s="1"/>
  <c r="Q72" i="1"/>
  <c r="Q64" i="1" s="1"/>
  <c r="P13" i="2"/>
  <c r="L14" i="2"/>
  <c r="O14" i="2"/>
  <c r="Q14" i="2"/>
  <c r="Q13" i="2" s="1"/>
  <c r="S14" i="2"/>
  <c r="T14" i="2"/>
  <c r="V14" i="2" s="1"/>
  <c r="AF16" i="2"/>
  <c r="U17" i="2"/>
  <c r="AF17" i="2"/>
  <c r="H20" i="2"/>
  <c r="I20" i="2"/>
  <c r="J20" i="2"/>
  <c r="K20" i="2"/>
  <c r="L20" i="2"/>
  <c r="M20" i="2"/>
  <c r="N20" i="2"/>
  <c r="O20" i="2"/>
  <c r="P20" i="2"/>
  <c r="Q20" i="2"/>
  <c r="R20" i="2"/>
  <c r="S20" i="2"/>
  <c r="V20" i="2"/>
  <c r="X20" i="2"/>
  <c r="Z20" i="2"/>
  <c r="AB20" i="2"/>
  <c r="U22" i="2"/>
  <c r="U20" i="2" s="1"/>
  <c r="AD22" i="2"/>
  <c r="Y23" i="2"/>
  <c r="T24" i="2"/>
  <c r="AF24" i="2" s="1"/>
  <c r="W24" i="2"/>
  <c r="Y24" i="2"/>
  <c r="T25" i="2"/>
  <c r="AF25" i="2" s="1"/>
  <c r="W25" i="2"/>
  <c r="Y25" i="2"/>
  <c r="AA25" i="2"/>
  <c r="AA20" i="2" s="1"/>
  <c r="AC25" i="2"/>
  <c r="AC20" i="2" s="1"/>
  <c r="P26" i="2"/>
  <c r="Q26" i="2"/>
  <c r="P27" i="2"/>
  <c r="Q27" i="2"/>
  <c r="AF29" i="2"/>
  <c r="AF30" i="2"/>
  <c r="AF32" i="2"/>
  <c r="AF41" i="2"/>
  <c r="H42" i="2"/>
  <c r="I42" i="2"/>
  <c r="J42" i="2"/>
  <c r="K42" i="2"/>
  <c r="L42" i="2"/>
  <c r="M42" i="2"/>
  <c r="N42" i="2"/>
  <c r="O42" i="2"/>
  <c r="P42" i="2"/>
  <c r="Q42" i="2"/>
  <c r="R42" i="2"/>
  <c r="X42" i="2"/>
  <c r="Z42" i="2"/>
  <c r="AB42" i="2"/>
  <c r="S44" i="2"/>
  <c r="T44" i="2"/>
  <c r="W44" i="2"/>
  <c r="Y44" i="2"/>
  <c r="AA44" i="2"/>
  <c r="AC44" i="2"/>
  <c r="AE44" i="2"/>
  <c r="S45" i="2"/>
  <c r="T45" i="2"/>
  <c r="W45" i="2"/>
  <c r="Y45" i="2"/>
  <c r="AA45" i="2"/>
  <c r="AC45" i="2"/>
  <c r="AE45" i="2"/>
  <c r="S46" i="2"/>
  <c r="U46" i="2"/>
  <c r="W46" i="2"/>
  <c r="Y46" i="2"/>
  <c r="AA46" i="2"/>
  <c r="AC46" i="2"/>
  <c r="AE46" i="2"/>
  <c r="T47" i="2"/>
  <c r="U47" i="2" s="1"/>
  <c r="V47" i="2"/>
  <c r="W47" i="2"/>
  <c r="Y47" i="2"/>
  <c r="AA47" i="2"/>
  <c r="AC47" i="2"/>
  <c r="AE47" i="2"/>
  <c r="S51" i="2"/>
  <c r="U51" i="2"/>
  <c r="W51" i="2"/>
  <c r="Y51" i="2"/>
  <c r="AA51" i="2"/>
  <c r="AC51" i="2" s="1"/>
  <c r="AF51" i="2" s="1"/>
  <c r="F54" i="2"/>
  <c r="G54" i="2"/>
  <c r="H54" i="2"/>
  <c r="I54" i="2"/>
  <c r="J54" i="2"/>
  <c r="K54" i="2"/>
  <c r="L54" i="2"/>
  <c r="M54" i="2"/>
  <c r="N54" i="2"/>
  <c r="O54" i="2"/>
  <c r="P54" i="2"/>
  <c r="Q54" i="2"/>
  <c r="R54" i="2"/>
  <c r="T54" i="2"/>
  <c r="V54" i="2"/>
  <c r="X54" i="2"/>
  <c r="Z54" i="2"/>
  <c r="AA54" i="2"/>
  <c r="AB54" i="2"/>
  <c r="AC54" i="2"/>
  <c r="S56" i="2"/>
  <c r="S54" i="2" s="1"/>
  <c r="U56" i="2"/>
  <c r="U54" i="2" s="1"/>
  <c r="W56" i="2"/>
  <c r="W54" i="2" s="1"/>
  <c r="Y56" i="2"/>
  <c r="Y54" i="2" s="1"/>
  <c r="AF57" i="2"/>
  <c r="AF58" i="2"/>
  <c r="AF66" i="2"/>
  <c r="AF67" i="2"/>
  <c r="AF68" i="2"/>
  <c r="AF69" i="2"/>
  <c r="AF70" i="2"/>
  <c r="AF71" i="2"/>
  <c r="AF72" i="2"/>
  <c r="AF74" i="2"/>
  <c r="AF75" i="2"/>
  <c r="AF77" i="2"/>
  <c r="U79" i="2"/>
  <c r="W79" i="2"/>
  <c r="AA79" i="2"/>
  <c r="AC79" i="2"/>
  <c r="AF79" i="2"/>
  <c r="AF80" i="2"/>
  <c r="AF81" i="2"/>
  <c r="AF82" i="2"/>
  <c r="AF83" i="2"/>
  <c r="AF84" i="2"/>
  <c r="AF85" i="2"/>
  <c r="AF86" i="2"/>
  <c r="N88" i="2"/>
  <c r="O88" i="2"/>
  <c r="P88" i="2"/>
  <c r="Q88" i="2"/>
  <c r="R88" i="2"/>
  <c r="S88" i="2"/>
  <c r="T88" i="2"/>
  <c r="V88" i="2"/>
  <c r="W88" i="2"/>
  <c r="X88" i="2"/>
  <c r="Z88" i="2"/>
  <c r="AA88" i="2"/>
  <c r="AB88" i="2"/>
  <c r="AC88" i="2"/>
  <c r="AF89" i="2"/>
  <c r="AF90" i="2"/>
  <c r="U91" i="2"/>
  <c r="U88" i="2" s="1"/>
  <c r="Y91" i="2"/>
  <c r="AF91" i="2"/>
  <c r="U92" i="2"/>
  <c r="Y92" i="2"/>
  <c r="AF92" i="2"/>
  <c r="T93" i="2"/>
  <c r="U93" i="2"/>
  <c r="V93" i="2"/>
  <c r="X93" i="2"/>
  <c r="Y93" i="2"/>
  <c r="Z93" i="2"/>
  <c r="AA93" i="2"/>
  <c r="AB93" i="2"/>
  <c r="AC93" i="2"/>
  <c r="AD93" i="2"/>
  <c r="AE93" i="2"/>
  <c r="AF94" i="2"/>
  <c r="AF95" i="2"/>
  <c r="W96" i="2"/>
  <c r="W93" i="2" s="1"/>
  <c r="AF96" i="2"/>
  <c r="X99" i="2"/>
  <c r="X98" i="2" s="1"/>
  <c r="AF99" i="2"/>
  <c r="AF98" i="2" s="1"/>
  <c r="I137" i="1"/>
  <c r="W136" i="1"/>
  <c r="I136" i="1"/>
  <c r="I135" i="1"/>
  <c r="I134" i="1"/>
  <c r="I133" i="1"/>
  <c r="I132" i="1"/>
  <c r="I129" i="1"/>
  <c r="I128" i="1"/>
  <c r="I127" i="1"/>
  <c r="I126" i="1"/>
  <c r="K125" i="1"/>
  <c r="K131" i="1" s="1"/>
  <c r="K124" i="1"/>
  <c r="I124" i="1" s="1"/>
  <c r="M112" i="1"/>
  <c r="M106" i="1" s="1"/>
  <c r="L112" i="1"/>
  <c r="K112" i="1"/>
  <c r="I112" i="1" s="1"/>
  <c r="M111" i="1"/>
  <c r="K111" i="1"/>
  <c r="I111" i="1" s="1"/>
  <c r="M110" i="1"/>
  <c r="I110" i="1" s="1"/>
  <c r="M109" i="1"/>
  <c r="M103" i="1" s="1"/>
  <c r="K109" i="1"/>
  <c r="U107" i="1"/>
  <c r="T107" i="1"/>
  <c r="S107" i="1"/>
  <c r="R107" i="1"/>
  <c r="Q107" i="1"/>
  <c r="P107" i="1"/>
  <c r="O107" i="1"/>
  <c r="N107" i="1"/>
  <c r="L107" i="1"/>
  <c r="L102" i="1" s="1"/>
  <c r="L113" i="1" s="1"/>
  <c r="J107" i="1"/>
  <c r="U106" i="1"/>
  <c r="T106" i="1"/>
  <c r="S106" i="1"/>
  <c r="R106" i="1"/>
  <c r="Q106" i="1"/>
  <c r="P106" i="1"/>
  <c r="O106" i="1"/>
  <c r="N106" i="1"/>
  <c r="L106" i="1"/>
  <c r="J106" i="1"/>
  <c r="U105" i="1"/>
  <c r="T105" i="1"/>
  <c r="S105" i="1"/>
  <c r="R105" i="1"/>
  <c r="Q105" i="1"/>
  <c r="O105" i="1"/>
  <c r="N105" i="1"/>
  <c r="L105" i="1"/>
  <c r="U104" i="1"/>
  <c r="T104" i="1"/>
  <c r="S104" i="1"/>
  <c r="R104" i="1"/>
  <c r="R102" i="1" s="1"/>
  <c r="R113" i="1" s="1"/>
  <c r="Q104" i="1"/>
  <c r="O104" i="1"/>
  <c r="N104" i="1"/>
  <c r="M104" i="1"/>
  <c r="K104" i="1"/>
  <c r="J104" i="1"/>
  <c r="U103" i="1"/>
  <c r="T103" i="1"/>
  <c r="S103" i="1"/>
  <c r="R103" i="1"/>
  <c r="Q103" i="1"/>
  <c r="O103" i="1"/>
  <c r="N103" i="1"/>
  <c r="N102" i="1" s="1"/>
  <c r="N113" i="1" s="1"/>
  <c r="L103" i="1"/>
  <c r="J103" i="1"/>
  <c r="S102" i="1"/>
  <c r="S113" i="1" s="1"/>
  <c r="O102" i="1"/>
  <c r="O113" i="1" s="1"/>
  <c r="I101" i="1"/>
  <c r="I100" i="1"/>
  <c r="M99" i="1"/>
  <c r="I99" i="1" s="1"/>
  <c r="M98" i="1"/>
  <c r="I98" i="1"/>
  <c r="M97" i="1"/>
  <c r="I97" i="1" s="1"/>
  <c r="N96" i="1"/>
  <c r="N95" i="1" s="1"/>
  <c r="M96" i="1"/>
  <c r="U95" i="1"/>
  <c r="T95" i="1"/>
  <c r="S95" i="1"/>
  <c r="R95" i="1"/>
  <c r="Q95" i="1"/>
  <c r="P95" i="1"/>
  <c r="O95" i="1"/>
  <c r="L94" i="1"/>
  <c r="I94" i="1" s="1"/>
  <c r="M93" i="1"/>
  <c r="I93" i="1"/>
  <c r="M92" i="1"/>
  <c r="I92" i="1" s="1"/>
  <c r="M91" i="1"/>
  <c r="I91" i="1" s="1"/>
  <c r="M90" i="1"/>
  <c r="L90" i="1"/>
  <c r="U89" i="1"/>
  <c r="U52" i="1" s="1"/>
  <c r="T89" i="1"/>
  <c r="S89" i="1"/>
  <c r="R89" i="1"/>
  <c r="Q89" i="1"/>
  <c r="P89" i="1"/>
  <c r="O89" i="1"/>
  <c r="N89" i="1"/>
  <c r="L89" i="1"/>
  <c r="I88" i="1"/>
  <c r="I87" i="1"/>
  <c r="I86" i="1"/>
  <c r="K85" i="1"/>
  <c r="I85" i="1" s="1"/>
  <c r="U84" i="1"/>
  <c r="T84" i="1"/>
  <c r="S84" i="1"/>
  <c r="R84" i="1"/>
  <c r="Q84" i="1"/>
  <c r="P84" i="1"/>
  <c r="O84" i="1"/>
  <c r="N84" i="1"/>
  <c r="L84" i="1"/>
  <c r="J84" i="1"/>
  <c r="K83" i="1"/>
  <c r="J83" i="1"/>
  <c r="I83" i="1" s="1"/>
  <c r="I82" i="1"/>
  <c r="K81" i="1"/>
  <c r="K78" i="1" s="1"/>
  <c r="J81" i="1"/>
  <c r="J80" i="1"/>
  <c r="I80" i="1" s="1"/>
  <c r="U78" i="1"/>
  <c r="T78" i="1"/>
  <c r="T53" i="1" s="1"/>
  <c r="S78" i="1"/>
  <c r="S53" i="1" s="1"/>
  <c r="R78" i="1"/>
  <c r="R10" i="1" s="1"/>
  <c r="R145" i="1" s="1"/>
  <c r="Q78" i="1"/>
  <c r="P78" i="1"/>
  <c r="P53" i="1" s="1"/>
  <c r="P50" i="1" s="1"/>
  <c r="O78" i="1"/>
  <c r="O53" i="1" s="1"/>
  <c r="O50" i="1" s="1"/>
  <c r="N78" i="1"/>
  <c r="M78" i="1"/>
  <c r="L78" i="1"/>
  <c r="L53" i="1" s="1"/>
  <c r="O77" i="1"/>
  <c r="I77" i="1" s="1"/>
  <c r="I76" i="1"/>
  <c r="I75" i="1"/>
  <c r="I74" i="1"/>
  <c r="I73" i="1"/>
  <c r="P72" i="1"/>
  <c r="P64" i="1" s="1"/>
  <c r="O72" i="1"/>
  <c r="O64" i="1" s="1"/>
  <c r="N72" i="1"/>
  <c r="L72" i="1"/>
  <c r="K72" i="1"/>
  <c r="J72" i="1"/>
  <c r="I71" i="1"/>
  <c r="M70" i="1"/>
  <c r="N69" i="1"/>
  <c r="M69" i="1"/>
  <c r="K69" i="1"/>
  <c r="J69" i="1"/>
  <c r="M68" i="1"/>
  <c r="L68" i="1"/>
  <c r="K68" i="1"/>
  <c r="J68" i="1"/>
  <c r="U66" i="1"/>
  <c r="U51" i="1" s="1"/>
  <c r="U32" i="1" s="1"/>
  <c r="T66" i="1"/>
  <c r="T54" i="1" s="1"/>
  <c r="T118" i="1" s="1"/>
  <c r="S66" i="1"/>
  <c r="R66" i="1"/>
  <c r="R54" i="1" s="1"/>
  <c r="Q66" i="1"/>
  <c r="Q51" i="1" s="1"/>
  <c r="Q32" i="1" s="1"/>
  <c r="P66" i="1"/>
  <c r="P51" i="1" s="1"/>
  <c r="P32" i="1" s="1"/>
  <c r="O66" i="1"/>
  <c r="N66" i="1"/>
  <c r="N146" i="1" s="1"/>
  <c r="M66" i="1"/>
  <c r="L66" i="1"/>
  <c r="K66" i="1"/>
  <c r="J66" i="1"/>
  <c r="I66" i="1" s="1"/>
  <c r="U65" i="1"/>
  <c r="T65" i="1"/>
  <c r="S65" i="1"/>
  <c r="R65" i="1"/>
  <c r="Q65" i="1"/>
  <c r="P65" i="1"/>
  <c r="O65" i="1"/>
  <c r="N65" i="1"/>
  <c r="M65" i="1"/>
  <c r="L65" i="1"/>
  <c r="K65" i="1"/>
  <c r="J65" i="1"/>
  <c r="U64" i="1"/>
  <c r="T64" i="1"/>
  <c r="S64" i="1"/>
  <c r="N64" i="1"/>
  <c r="K64" i="1"/>
  <c r="J64" i="1"/>
  <c r="O63" i="1"/>
  <c r="L63" i="1"/>
  <c r="K63" i="1"/>
  <c r="J63" i="1"/>
  <c r="M62" i="1"/>
  <c r="K62" i="1"/>
  <c r="I62" i="1" s="1"/>
  <c r="J62" i="1"/>
  <c r="M61" i="1"/>
  <c r="K61" i="1"/>
  <c r="N60" i="1"/>
  <c r="N56" i="1" s="1"/>
  <c r="M60" i="1"/>
  <c r="K60" i="1"/>
  <c r="I60" i="1" s="1"/>
  <c r="M59" i="1"/>
  <c r="L59" i="1"/>
  <c r="L56" i="1" s="1"/>
  <c r="K59" i="1"/>
  <c r="M58" i="1"/>
  <c r="K58" i="1"/>
  <c r="U56" i="1"/>
  <c r="T56" i="1"/>
  <c r="S56" i="1"/>
  <c r="S52" i="1" s="1"/>
  <c r="S49" i="1" s="1"/>
  <c r="R56" i="1"/>
  <c r="Q56" i="1"/>
  <c r="P56" i="1"/>
  <c r="O56" i="1"/>
  <c r="J56" i="1"/>
  <c r="M55" i="1"/>
  <c r="K55" i="1"/>
  <c r="J55" i="1"/>
  <c r="S54" i="1"/>
  <c r="S118" i="1" s="1"/>
  <c r="P54" i="1"/>
  <c r="P118" i="1" s="1"/>
  <c r="O54" i="1"/>
  <c r="O118" i="1" s="1"/>
  <c r="N54" i="1"/>
  <c r="N118" i="1" s="1"/>
  <c r="U53" i="1"/>
  <c r="Q53" i="1"/>
  <c r="N53" i="1"/>
  <c r="N50" i="1" s="1"/>
  <c r="M53" i="1"/>
  <c r="J52" i="1"/>
  <c r="O51" i="1"/>
  <c r="O32" i="1" s="1"/>
  <c r="N51" i="1"/>
  <c r="U50" i="1"/>
  <c r="U117" i="1" s="1"/>
  <c r="T50" i="1"/>
  <c r="T31" i="1" s="1"/>
  <c r="S50" i="1"/>
  <c r="S31" i="1" s="1"/>
  <c r="R50" i="1"/>
  <c r="R117" i="1" s="1"/>
  <c r="Q50" i="1"/>
  <c r="Q117" i="1" s="1"/>
  <c r="M50" i="1"/>
  <c r="M117" i="1" s="1"/>
  <c r="L50" i="1"/>
  <c r="L31" i="1" s="1"/>
  <c r="I45" i="1"/>
  <c r="I44" i="1"/>
  <c r="I43" i="1"/>
  <c r="T42" i="1"/>
  <c r="S42" i="1"/>
  <c r="R42" i="1"/>
  <c r="Q42" i="1"/>
  <c r="P42" i="1"/>
  <c r="O42" i="1"/>
  <c r="N42" i="1"/>
  <c r="M42" i="1"/>
  <c r="L42" i="1"/>
  <c r="K42" i="1"/>
  <c r="J42" i="1"/>
  <c r="I41" i="1"/>
  <c r="I40" i="1"/>
  <c r="I39" i="1"/>
  <c r="I38" i="1"/>
  <c r="U37" i="1"/>
  <c r="T37" i="1"/>
  <c r="S37" i="1"/>
  <c r="R37" i="1"/>
  <c r="Q37" i="1"/>
  <c r="P37" i="1"/>
  <c r="O37" i="1"/>
  <c r="N37" i="1"/>
  <c r="M37" i="1"/>
  <c r="L37" i="1"/>
  <c r="K37" i="1"/>
  <c r="J37" i="1"/>
  <c r="I37" i="1"/>
  <c r="U36" i="1"/>
  <c r="T36" i="1"/>
  <c r="S36" i="1"/>
  <c r="R36" i="1"/>
  <c r="Q36" i="1"/>
  <c r="P36" i="1"/>
  <c r="O36" i="1"/>
  <c r="N36" i="1"/>
  <c r="M36" i="1"/>
  <c r="L36" i="1"/>
  <c r="K36" i="1"/>
  <c r="J36" i="1"/>
  <c r="I35" i="1"/>
  <c r="M32" i="1"/>
  <c r="L32" i="1"/>
  <c r="K32" i="1"/>
  <c r="J32" i="1"/>
  <c r="U31" i="1"/>
  <c r="Q31" i="1"/>
  <c r="M31" i="1"/>
  <c r="R29" i="1"/>
  <c r="Q29" i="1"/>
  <c r="P29" i="1"/>
  <c r="O29" i="1"/>
  <c r="L29" i="1"/>
  <c r="L28" i="1"/>
  <c r="I28" i="1" s="1"/>
  <c r="M27" i="1"/>
  <c r="K27" i="1"/>
  <c r="I27" i="1" s="1"/>
  <c r="M26" i="1"/>
  <c r="L26" i="1"/>
  <c r="L22" i="1" s="1"/>
  <c r="L21" i="1" s="1"/>
  <c r="K26" i="1"/>
  <c r="N25" i="1"/>
  <c r="N22" i="1" s="1"/>
  <c r="N21" i="1" s="1"/>
  <c r="M25" i="1"/>
  <c r="K25" i="1"/>
  <c r="I25" i="1" s="1"/>
  <c r="M24" i="1"/>
  <c r="K24" i="1"/>
  <c r="U22" i="1"/>
  <c r="U21" i="1" s="1"/>
  <c r="T22" i="1"/>
  <c r="T21" i="1" s="1"/>
  <c r="S22" i="1"/>
  <c r="S21" i="1" s="1"/>
  <c r="R22" i="1"/>
  <c r="Q22" i="1"/>
  <c r="Q21" i="1" s="1"/>
  <c r="P22" i="1"/>
  <c r="P21" i="1" s="1"/>
  <c r="O22" i="1"/>
  <c r="O21" i="1" s="1"/>
  <c r="M22" i="1"/>
  <c r="M21" i="1" s="1"/>
  <c r="K22" i="1"/>
  <c r="K21" i="1" s="1"/>
  <c r="J22" i="1"/>
  <c r="J21" i="1" s="1"/>
  <c r="R21" i="1"/>
  <c r="I20" i="1"/>
  <c r="I19" i="1"/>
  <c r="M18" i="1"/>
  <c r="M14" i="1" s="1"/>
  <c r="J18" i="1"/>
  <c r="S17" i="1"/>
  <c r="S15" i="1" s="1"/>
  <c r="U16" i="1"/>
  <c r="T16" i="1"/>
  <c r="T14" i="1" s="1"/>
  <c r="T12" i="1" s="1"/>
  <c r="S16" i="1"/>
  <c r="S14" i="1" s="1"/>
  <c r="S12" i="1" s="1"/>
  <c r="R16" i="1"/>
  <c r="R14" i="1" s="1"/>
  <c r="R12" i="1" s="1"/>
  <c r="Q16" i="1"/>
  <c r="P16" i="1"/>
  <c r="L16" i="1"/>
  <c r="L14" i="1" s="1"/>
  <c r="K16" i="1"/>
  <c r="K14" i="1" s="1"/>
  <c r="J16" i="1"/>
  <c r="U15" i="1"/>
  <c r="R15" i="1"/>
  <c r="Q15" i="1"/>
  <c r="P15" i="1"/>
  <c r="O15" i="1"/>
  <c r="N15" i="1"/>
  <c r="U14" i="1"/>
  <c r="U12" i="1" s="1"/>
  <c r="Q14" i="1"/>
  <c r="P14" i="1"/>
  <c r="O14" i="1"/>
  <c r="N14" i="1"/>
  <c r="J14" i="1"/>
  <c r="U13" i="1"/>
  <c r="R13" i="1"/>
  <c r="Q13" i="1"/>
  <c r="P13" i="1"/>
  <c r="P145" i="1" s="1"/>
  <c r="O13" i="1"/>
  <c r="N13" i="1"/>
  <c r="N145" i="1" s="1"/>
  <c r="M13" i="1"/>
  <c r="L13" i="1"/>
  <c r="L145" i="1" s="1"/>
  <c r="K13" i="1"/>
  <c r="J13" i="1"/>
  <c r="P12" i="1"/>
  <c r="O12" i="1"/>
  <c r="U11" i="1"/>
  <c r="U146" i="1" s="1"/>
  <c r="Q11" i="1"/>
  <c r="P11" i="1"/>
  <c r="O11" i="1"/>
  <c r="N11" i="1"/>
  <c r="U10" i="1"/>
  <c r="U145" i="1" s="1"/>
  <c r="S10" i="1"/>
  <c r="S145" i="1" s="1"/>
  <c r="Q10" i="1"/>
  <c r="O10" i="1"/>
  <c r="N10" i="1"/>
  <c r="M10" i="1"/>
  <c r="N117" i="1" l="1"/>
  <c r="N31" i="1"/>
  <c r="N52" i="1"/>
  <c r="N49" i="1" s="1"/>
  <c r="N114" i="1" s="1"/>
  <c r="R118" i="1"/>
  <c r="R51" i="1"/>
  <c r="R32" i="1" s="1"/>
  <c r="R11" i="1" s="1"/>
  <c r="R146" i="1" s="1"/>
  <c r="K53" i="1"/>
  <c r="K50" i="1"/>
  <c r="K31" i="1" s="1"/>
  <c r="O52" i="1"/>
  <c r="O49" i="1" s="1"/>
  <c r="O114" i="1" s="1"/>
  <c r="AF54" i="2"/>
  <c r="M145" i="1"/>
  <c r="R31" i="1"/>
  <c r="I59" i="1"/>
  <c r="I81" i="1"/>
  <c r="I90" i="1"/>
  <c r="M95" i="1"/>
  <c r="K107" i="1"/>
  <c r="V42" i="2"/>
  <c r="AF47" i="2"/>
  <c r="AE42" i="2"/>
  <c r="N144" i="1"/>
  <c r="N142" i="1" s="1"/>
  <c r="I29" i="1"/>
  <c r="I42" i="1"/>
  <c r="R53" i="1"/>
  <c r="I55" i="1"/>
  <c r="K56" i="1"/>
  <c r="L64" i="1"/>
  <c r="I84" i="1"/>
  <c r="M89" i="1"/>
  <c r="U44" i="2"/>
  <c r="AF44" i="2"/>
  <c r="O145" i="1"/>
  <c r="O142" i="1" s="1"/>
  <c r="S13" i="1"/>
  <c r="O144" i="1"/>
  <c r="I24" i="1"/>
  <c r="I26" i="1"/>
  <c r="S51" i="1"/>
  <c r="S32" i="1" s="1"/>
  <c r="S11" i="1" s="1"/>
  <c r="S146" i="1" s="1"/>
  <c r="I58" i="1"/>
  <c r="I109" i="1"/>
  <c r="AF88" i="2"/>
  <c r="U45" i="2"/>
  <c r="AF45" i="2"/>
  <c r="AF22" i="2"/>
  <c r="AD20" i="2"/>
  <c r="AE51" i="2"/>
  <c r="I16" i="1"/>
  <c r="I18" i="1"/>
  <c r="K52" i="1"/>
  <c r="M56" i="1"/>
  <c r="I56" i="1" s="1"/>
  <c r="I61" i="1"/>
  <c r="I68" i="1"/>
  <c r="I95" i="1"/>
  <c r="I104" i="1"/>
  <c r="Q102" i="1"/>
  <c r="U102" i="1"/>
  <c r="P102" i="1"/>
  <c r="P113" i="1" s="1"/>
  <c r="M107" i="1"/>
  <c r="M102" i="1" s="1"/>
  <c r="M113" i="1" s="1"/>
  <c r="S117" i="1"/>
  <c r="I125" i="1"/>
  <c r="AF93" i="2"/>
  <c r="Y88" i="2"/>
  <c r="AC42" i="2"/>
  <c r="Y42" i="2"/>
  <c r="S42" i="2"/>
  <c r="T20" i="2"/>
  <c r="Y20" i="2"/>
  <c r="Q52" i="1"/>
  <c r="I63" i="1"/>
  <c r="I69" i="1"/>
  <c r="M64" i="1"/>
  <c r="P52" i="1"/>
  <c r="T52" i="1"/>
  <c r="T102" i="1"/>
  <c r="T113" i="1" s="1"/>
  <c r="K117" i="1"/>
  <c r="AA42" i="2"/>
  <c r="W42" i="2"/>
  <c r="T42" i="2"/>
  <c r="W20" i="2"/>
  <c r="R52" i="1"/>
  <c r="Q145" i="1"/>
  <c r="I65" i="1"/>
  <c r="I72" i="1"/>
  <c r="Q144" i="1"/>
  <c r="I36" i="1"/>
  <c r="I64" i="1"/>
  <c r="AF14" i="2"/>
  <c r="AF13" i="2" s="1"/>
  <c r="V13" i="2"/>
  <c r="W14" i="2"/>
  <c r="U42" i="2"/>
  <c r="U14" i="2"/>
  <c r="U13" i="2" s="1"/>
  <c r="T13" i="2"/>
  <c r="L12" i="1"/>
  <c r="L144" i="1"/>
  <c r="L142" i="1" s="1"/>
  <c r="O31" i="1"/>
  <c r="O117" i="1"/>
  <c r="I21" i="1"/>
  <c r="K12" i="1"/>
  <c r="O116" i="1"/>
  <c r="O30" i="1"/>
  <c r="O9" i="1" s="1"/>
  <c r="S116" i="1"/>
  <c r="S30" i="1"/>
  <c r="S9" i="1" s="1"/>
  <c r="S144" i="1" s="1"/>
  <c r="N116" i="1"/>
  <c r="N30" i="1"/>
  <c r="Q113" i="1"/>
  <c r="Q49" i="1"/>
  <c r="Q114" i="1" s="1"/>
  <c r="U113" i="1"/>
  <c r="U49" i="1"/>
  <c r="U114" i="1" s="1"/>
  <c r="M144" i="1"/>
  <c r="M142" i="1" s="1"/>
  <c r="M12" i="1"/>
  <c r="P31" i="1"/>
  <c r="P117" i="1"/>
  <c r="K123" i="1"/>
  <c r="K141" i="1"/>
  <c r="I141" i="1" s="1"/>
  <c r="I131" i="1"/>
  <c r="L52" i="1"/>
  <c r="L49" i="1" s="1"/>
  <c r="L114" i="1" s="1"/>
  <c r="I89" i="1"/>
  <c r="L10" i="1"/>
  <c r="P10" i="1"/>
  <c r="Q12" i="1"/>
  <c r="T17" i="1"/>
  <c r="I17" i="1" s="1"/>
  <c r="T51" i="1"/>
  <c r="T32" i="1" s="1"/>
  <c r="T11" i="1" s="1"/>
  <c r="T146" i="1" s="1"/>
  <c r="Q54" i="1"/>
  <c r="Q118" i="1" s="1"/>
  <c r="I118" i="1" s="1"/>
  <c r="U54" i="1"/>
  <c r="K103" i="1"/>
  <c r="M105" i="1"/>
  <c r="I105" i="1" s="1"/>
  <c r="L117" i="1"/>
  <c r="T117" i="1"/>
  <c r="K130" i="1"/>
  <c r="I22" i="1"/>
  <c r="I14" i="1"/>
  <c r="I70" i="1"/>
  <c r="I96" i="1"/>
  <c r="J102" i="1"/>
  <c r="K106" i="1"/>
  <c r="I106" i="1" s="1"/>
  <c r="J145" i="1"/>
  <c r="J12" i="1"/>
  <c r="N12" i="1"/>
  <c r="N9" i="1" s="1"/>
  <c r="N32" i="1"/>
  <c r="J78" i="1"/>
  <c r="I32" i="1" l="1"/>
  <c r="S142" i="1"/>
  <c r="R49" i="1"/>
  <c r="AF42" i="2"/>
  <c r="S114" i="1"/>
  <c r="T49" i="1"/>
  <c r="AF20" i="2"/>
  <c r="P49" i="1"/>
  <c r="P114" i="1" s="1"/>
  <c r="P144" i="1"/>
  <c r="P142" i="1" s="1"/>
  <c r="T114" i="1"/>
  <c r="I107" i="1"/>
  <c r="M52" i="1"/>
  <c r="M49" i="1" s="1"/>
  <c r="Q142" i="1"/>
  <c r="W13" i="2"/>
  <c r="X14" i="2"/>
  <c r="J113" i="1"/>
  <c r="U30" i="1"/>
  <c r="U9" i="1" s="1"/>
  <c r="U144" i="1" s="1"/>
  <c r="U142" i="1" s="1"/>
  <c r="U116" i="1"/>
  <c r="I54" i="1"/>
  <c r="L30" i="1"/>
  <c r="L9" i="1" s="1"/>
  <c r="L116" i="1"/>
  <c r="K121" i="1"/>
  <c r="I123" i="1"/>
  <c r="J50" i="1"/>
  <c r="J10" i="1"/>
  <c r="I78" i="1"/>
  <c r="J53" i="1"/>
  <c r="I53" i="1" s="1"/>
  <c r="Q30" i="1"/>
  <c r="Q9" i="1" s="1"/>
  <c r="Q116" i="1"/>
  <c r="K102" i="1"/>
  <c r="I102" i="1" s="1"/>
  <c r="J144" i="1"/>
  <c r="T15" i="1"/>
  <c r="I15" i="1" s="1"/>
  <c r="T13" i="1"/>
  <c r="I13" i="1" s="1"/>
  <c r="T10" i="1"/>
  <c r="T145" i="1" s="1"/>
  <c r="K138" i="1"/>
  <c r="I138" i="1" s="1"/>
  <c r="I130" i="1"/>
  <c r="K122" i="1"/>
  <c r="K140" i="1"/>
  <c r="I12" i="1"/>
  <c r="J49" i="1"/>
  <c r="J114" i="1" s="1"/>
  <c r="I51" i="1"/>
  <c r="I103" i="1"/>
  <c r="I52" i="1" l="1"/>
  <c r="R116" i="1"/>
  <c r="R30" i="1"/>
  <c r="R9" i="1" s="1"/>
  <c r="R144" i="1" s="1"/>
  <c r="R142" i="1" s="1"/>
  <c r="T116" i="1"/>
  <c r="T30" i="1"/>
  <c r="T9" i="1" s="1"/>
  <c r="T144" i="1" s="1"/>
  <c r="T142" i="1" s="1"/>
  <c r="R114" i="1"/>
  <c r="P116" i="1"/>
  <c r="P30" i="1"/>
  <c r="P9" i="1" s="1"/>
  <c r="M114" i="1"/>
  <c r="M116" i="1"/>
  <c r="M30" i="1"/>
  <c r="M9" i="1" s="1"/>
  <c r="X13" i="2"/>
  <c r="Y14" i="2"/>
  <c r="J116" i="1"/>
  <c r="J30" i="1"/>
  <c r="J117" i="1"/>
  <c r="I117" i="1" s="1"/>
  <c r="I50" i="1"/>
  <c r="J31" i="1"/>
  <c r="I31" i="1" s="1"/>
  <c r="I122" i="1"/>
  <c r="K120" i="1"/>
  <c r="K113" i="1"/>
  <c r="K144" i="1"/>
  <c r="K49" i="1"/>
  <c r="K10" i="1"/>
  <c r="I10" i="1" s="1"/>
  <c r="I121" i="1"/>
  <c r="K34" i="1"/>
  <c r="I34" i="1" s="1"/>
  <c r="K145" i="1"/>
  <c r="I145" i="1" s="1"/>
  <c r="K146" i="1"/>
  <c r="I146" i="1" s="1"/>
  <c r="I140" i="1"/>
  <c r="I49" i="1" l="1"/>
  <c r="K114" i="1"/>
  <c r="K142" i="1"/>
  <c r="Y13" i="2"/>
  <c r="Z14" i="2"/>
  <c r="AA14" i="2" s="1"/>
  <c r="I114" i="1"/>
  <c r="J142" i="1"/>
  <c r="I142" i="1" s="1"/>
  <c r="J9" i="1"/>
  <c r="I144" i="1"/>
  <c r="K116" i="1"/>
  <c r="I116" i="1" s="1"/>
  <c r="K30" i="1"/>
  <c r="K9" i="1" s="1"/>
  <c r="K11" i="1"/>
  <c r="I11" i="1" s="1"/>
  <c r="I120" i="1"/>
  <c r="K33" i="1"/>
  <c r="I33" i="1" s="1"/>
  <c r="I113" i="1"/>
  <c r="I9" i="1" l="1"/>
  <c r="I30" i="1"/>
</calcChain>
</file>

<file path=xl/sharedStrings.xml><?xml version="1.0" encoding="utf-8"?>
<sst xmlns="http://schemas.openxmlformats.org/spreadsheetml/2006/main" count="1432" uniqueCount="295">
  <si>
    <t xml:space="preserve">Приложение 2 к муниципальной программе муниципального образования  "Городской округ город Астрахань"  "Повышение уровня благоустройства и улучшение санитарного состояния города Астрахани  </t>
  </si>
  <si>
    <t xml:space="preserve">Распределение расходов на реализацию муниципальной программы </t>
  </si>
  <si>
    <t>муниципального образования "Городской округ город Астрахань" "Повышение уровня благоустройства и улучшение санитарного состояния муниципального образования "Городской округ город  Астрахань"</t>
  </si>
  <si>
    <t>№ п/п</t>
  </si>
  <si>
    <t xml:space="preserve">Цели, задачи, наименования программных мероприятий </t>
  </si>
  <si>
    <t>Ответственные исполнители, соисполнители, участники</t>
  </si>
  <si>
    <t>Источники           финансирования</t>
  </si>
  <si>
    <t>Коды классификации</t>
  </si>
  <si>
    <t>Планируемые расходы, руб.</t>
  </si>
  <si>
    <t>целевая статья</t>
  </si>
  <si>
    <t>вид расходов</t>
  </si>
  <si>
    <t>КОСГУ</t>
  </si>
  <si>
    <t>всего</t>
  </si>
  <si>
    <t>2016 год</t>
  </si>
  <si>
    <t>2017 год</t>
  </si>
  <si>
    <t xml:space="preserve">       2018 год</t>
  </si>
  <si>
    <t>2019 год</t>
  </si>
  <si>
    <t>2020 год</t>
  </si>
  <si>
    <t>2021 год</t>
  </si>
  <si>
    <t>2022 год</t>
  </si>
  <si>
    <t>2023 год</t>
  </si>
  <si>
    <t>2024 год</t>
  </si>
  <si>
    <t>Муниципальная программа "Повышение уровня благоустройства и улучшение санитарного состояния города Астрахани"</t>
  </si>
  <si>
    <r>
      <t xml:space="preserve">Цель 1. </t>
    </r>
    <r>
      <rPr>
        <sz val="12"/>
        <color theme="1"/>
        <rFont val="Times New Roman"/>
        <family val="1"/>
        <charset val="204"/>
      </rPr>
      <t>Поддержание благоустроенности и санитарного состояния муниципального образования «Городской округ город Астрахань»</t>
    </r>
  </si>
  <si>
    <t>Управление по коммунальному хозяйству и благоустройству администрации МО "Городской округ город Астрахань" (МБУ г. Астрахани "Чистый город, МБУ г. Астрахани "Зеленый город", МБУ г. Астрахани "Мосты и каналы"),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"Городской округ город Астрахань" (Управление торговли и поддержки предпринимательства муниципального образования "Городской округ город Астрахань", Управление по капитальному строительству администрации МО "Город Астрахань")</t>
  </si>
  <si>
    <t>Бюджет МО "Городской округ город Астрахань"</t>
  </si>
  <si>
    <t>х</t>
  </si>
  <si>
    <t>Бюджет Астраханской области</t>
  </si>
  <si>
    <t>Федеральный бюджет</t>
  </si>
  <si>
    <r>
      <rPr>
        <b/>
        <sz val="12"/>
        <color theme="1"/>
        <rFont val="Times New Roman"/>
        <family val="1"/>
        <charset val="204"/>
      </rPr>
      <t>Задача 1.1.</t>
    </r>
    <r>
      <rPr>
        <sz val="12"/>
        <color theme="1"/>
        <rFont val="Times New Roman"/>
        <family val="1"/>
        <charset val="204"/>
      </rPr>
      <t xml:space="preserve"> Содержание, строительство и благоустройство мест захоронений</t>
    </r>
  </si>
  <si>
    <t>Управление по коммунальному хозяйству и благоустройству администрации МО "Город Астрахань" (МБУ г. Астрахани "Чистый город")</t>
  </si>
  <si>
    <r>
      <rPr>
        <b/>
        <sz val="12"/>
        <color theme="1"/>
        <rFont val="Times New Roman"/>
        <family val="1"/>
        <charset val="204"/>
      </rPr>
      <t xml:space="preserve">Основное мероприятие 1.1.1. </t>
    </r>
    <r>
      <rPr>
        <sz val="12"/>
        <color theme="1"/>
        <rFont val="Times New Roman"/>
        <family val="1"/>
        <charset val="204"/>
      </rPr>
      <t>Организация и обеспечение надлежащей эксплуатации и содержание мест захоронений</t>
    </r>
  </si>
  <si>
    <r>
      <rPr>
        <b/>
        <sz val="12"/>
        <color theme="1"/>
        <rFont val="Times New Roman"/>
        <family val="1"/>
        <charset val="204"/>
      </rPr>
      <t xml:space="preserve">Мероприятие 1. </t>
    </r>
    <r>
      <rPr>
        <sz val="12"/>
        <color theme="1"/>
        <rFont val="Times New Roman"/>
        <family val="1"/>
        <charset val="204"/>
      </rPr>
      <t>Содержание мест захоронений</t>
    </r>
  </si>
  <si>
    <t>Управление по коммунальному хозяйству и благоустройству администрации МО "Городской округ город Астрахань" (МБУ г. Астрахани "Чистый город")</t>
  </si>
  <si>
    <r>
      <t xml:space="preserve">Мероприятие 2. </t>
    </r>
    <r>
      <rPr>
        <sz val="12"/>
        <color theme="1"/>
        <rFont val="Times New Roman"/>
        <family val="1"/>
        <charset val="204"/>
      </rPr>
      <t>Строительство кладбища</t>
    </r>
  </si>
  <si>
    <r>
      <t>Мероприятие 3.</t>
    </r>
    <r>
      <rPr>
        <sz val="12"/>
        <color theme="1"/>
        <rFont val="Times New Roman"/>
        <family val="1"/>
        <charset val="204"/>
      </rPr>
      <t xml:space="preserve"> Возмещение затрат специализированным службам по вопросам похоронного дела, связанных с погребением отдельных категорий умерших</t>
    </r>
  </si>
  <si>
    <t>Управление по коммунальному хозяйству и благоустройству администрации МО "Город Астрахань"(МБУ г. Астрахани "Чистый город")</t>
  </si>
  <si>
    <r>
      <t xml:space="preserve">Задача 1.2. </t>
    </r>
    <r>
      <rPr>
        <sz val="12"/>
        <color theme="1"/>
        <rFont val="Times New Roman"/>
        <family val="1"/>
        <charset val="204"/>
      </rPr>
      <t>Благоустройство городских территорий освобожденных от незаконно установленных строений</t>
    </r>
  </si>
  <si>
    <t>Администрации Кировского района, Ленинского района, Советского района, Трусовского района города Астрахани</t>
  </si>
  <si>
    <r>
      <t xml:space="preserve">Основное мероприятие 1.2.1. </t>
    </r>
    <r>
      <rPr>
        <sz val="12"/>
        <color theme="1"/>
        <rFont val="Times New Roman"/>
        <family val="1"/>
        <charset val="204"/>
      </rPr>
      <t>Освобождение земельных участков от незаконно установленных строений</t>
    </r>
  </si>
  <si>
    <r>
      <rPr>
        <b/>
        <sz val="12"/>
        <color theme="1"/>
        <rFont val="Times New Roman"/>
        <family val="1"/>
        <charset val="204"/>
      </rPr>
      <t xml:space="preserve"> Мероприятие 1. </t>
    </r>
    <r>
      <rPr>
        <sz val="12"/>
        <color theme="1"/>
        <rFont val="Times New Roman"/>
        <family val="1"/>
        <charset val="204"/>
      </rPr>
      <t xml:space="preserve">  Демонтаж самовольно установленных объектов движимого имущества, рекламных конструкций</t>
    </r>
  </si>
  <si>
    <t>в том числе:</t>
  </si>
  <si>
    <t>Администрация  Кировского района</t>
  </si>
  <si>
    <t>Администрация Ленинского района</t>
  </si>
  <si>
    <t>Администрация Советского района</t>
  </si>
  <si>
    <t>Администрация Трусовского района</t>
  </si>
  <si>
    <r>
      <rPr>
        <b/>
        <sz val="12"/>
        <color theme="1"/>
        <rFont val="Times New Roman"/>
        <family val="1"/>
        <charset val="204"/>
      </rPr>
      <t xml:space="preserve">Основное мероприятие 1.3.1. </t>
    </r>
    <r>
      <rPr>
        <sz val="12"/>
        <color theme="1"/>
        <rFont val="Times New Roman"/>
        <family val="1"/>
        <charset val="204"/>
      </rPr>
      <t>Приобретение техники в лизинг</t>
    </r>
  </si>
  <si>
    <t>Управление по коммунальному  хозяйству и благоустройству администрации муниципального образования "Городской округ город Астрахань"</t>
  </si>
  <si>
    <r>
      <rPr>
        <b/>
        <sz val="12"/>
        <color theme="1"/>
        <rFont val="Times New Roman"/>
        <family val="1"/>
        <charset val="204"/>
      </rPr>
      <t>Мероприятие 1</t>
    </r>
    <r>
      <rPr>
        <sz val="12"/>
        <color theme="1"/>
        <rFont val="Times New Roman"/>
        <family val="1"/>
        <charset val="204"/>
      </rPr>
      <t xml:space="preserve">. Закупка специализированной техники для муниципальныхучреждений дорожного и коммунального хозяйства </t>
    </r>
  </si>
  <si>
    <t>Управление по капитальному хозяйству и благоустройству администрации муниципального образования "Города Астрахани"</t>
  </si>
  <si>
    <t>Бюджет МО "Город Астрахань"</t>
  </si>
  <si>
    <r>
      <t xml:space="preserve">Задача 1.3. </t>
    </r>
    <r>
      <rPr>
        <sz val="12"/>
        <rFont val="Times New Roman"/>
        <family val="1"/>
        <charset val="204"/>
      </rPr>
      <t>Поддержание благоприятных и комфортных условий для отдыха и досуга жителей города</t>
    </r>
  </si>
  <si>
    <r>
      <t xml:space="preserve">Задача 1.4. </t>
    </r>
    <r>
      <rPr>
        <sz val="12"/>
        <color theme="1"/>
        <rFont val="Times New Roman"/>
        <family val="1"/>
        <charset val="204"/>
      </rPr>
      <t>Повышение качества и комфорта городской среды на территориии города Астрахани</t>
    </r>
  </si>
  <si>
    <t>Управление по коммунальному хозяйству и благоустройству администрации МО "Городской округ город Астрахань"</t>
  </si>
  <si>
    <r>
      <t xml:space="preserve">Задача 1.5. </t>
    </r>
    <r>
      <rPr>
        <sz val="12"/>
        <color theme="1"/>
        <rFont val="Times New Roman"/>
        <family val="1"/>
        <charset val="204"/>
      </rPr>
      <t>Повышение уровня материальной обеспеченности и качества эксплуатации коммунальной инфраструктуры</t>
    </r>
  </si>
  <si>
    <r>
      <t xml:space="preserve">Основное мероприятие 1.5.1. </t>
    </r>
    <r>
      <rPr>
        <sz val="12"/>
        <rFont val="Times New Roman"/>
        <family val="1"/>
        <charset val="204"/>
      </rPr>
      <t>Погашение кредиторской задолженности за потребленный природный газ муниципальных теплоснабжающих предприятий муниципального образования  "Городской округ город Астрахань" перед юридическими лицами, осуществляющими поставки природного газа</t>
    </r>
  </si>
  <si>
    <t>Управление по коммунальному хозяйству и благоустройству администрации МО "Город Астрахань"</t>
  </si>
  <si>
    <r>
      <t xml:space="preserve">Основное мероприятие 1.5.2.  </t>
    </r>
    <r>
      <rPr>
        <sz val="12"/>
        <rFont val="Times New Roman"/>
        <family val="1"/>
        <charset val="204"/>
      </rPr>
      <t>Оказание финансовой помощи в целях предупреждения банкротства муниципальных унитарных предприятий города Астрахани</t>
    </r>
  </si>
  <si>
    <r>
      <rPr>
        <b/>
        <sz val="12"/>
        <rFont val="Times New Roman"/>
        <family val="1"/>
        <charset val="204"/>
      </rPr>
      <t xml:space="preserve">Основное мероприятие 1.5.3.  </t>
    </r>
    <r>
      <rPr>
        <sz val="12"/>
        <rFont val="Times New Roman"/>
        <family val="1"/>
        <charset val="204"/>
      </rPr>
      <t xml:space="preserve">Проведение работ по ремонту сетей водоснабжения и водоотведения </t>
    </r>
  </si>
  <si>
    <t>Управление по коммунальному хозяйству и благоустройству администрации МО "Городской округ город Астрахань""</t>
  </si>
  <si>
    <t xml:space="preserve">Задача 1.6. Создание условий для обеспечения жителей города Астрахани услугами бытового обслуживания </t>
  </si>
  <si>
    <r>
      <rPr>
        <b/>
        <sz val="12"/>
        <color theme="1"/>
        <rFont val="Times New Roman"/>
        <family val="1"/>
        <charset val="204"/>
      </rPr>
      <t>Основное мероприятие 1.6.1.</t>
    </r>
    <r>
      <rPr>
        <sz val="12"/>
        <color theme="1"/>
        <rFont val="Times New Roman"/>
        <family val="1"/>
        <charset val="204"/>
      </rPr>
      <t xml:space="preserve"> Оказание финансовой помощи на погашение задолженности по оплате труда в целях предупреждения банкротства муниципальных унитарных предприятий города Астрахани</t>
    </r>
  </si>
  <si>
    <t>Подпрограмма 1. "Благоустройство территорий города для обеспечения отдыха и досуга жителей"</t>
  </si>
  <si>
    <r>
      <t xml:space="preserve">Цель 1.1.  </t>
    </r>
    <r>
      <rPr>
        <sz val="12"/>
        <color theme="1"/>
        <rFont val="Times New Roman"/>
        <family val="1"/>
        <charset val="204"/>
      </rPr>
      <t>Поддержание благоприятных и комфортных условий для отдыха и досуга жителей города</t>
    </r>
  </si>
  <si>
    <t>Управление по коммунальному хозяйству и благоустройству администрации МО "Городской округ город Астрахань"" (МБУ г. Астрахани "Чистый город, МБУ г. Астрахани "Зеленый город", МБУ г. Астрахани "Мосты и каналы"),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"Городской округ Городской округ город Астрахань"" (Управление торговли и поддержки предпринимательства муниципального образования "Городской округ Городской округ город Астрахань"", Управление по капитальному строительству администрации МО "Городской округ город Астрахань"")</t>
  </si>
  <si>
    <r>
      <t>Задача 1.1.</t>
    </r>
    <r>
      <rPr>
        <sz val="12"/>
        <color theme="1"/>
        <rFont val="Times New Roman"/>
        <family val="1"/>
        <charset val="204"/>
      </rPr>
      <t xml:space="preserve">  Повышение уровня благоустроенности рекреационных зон в границах муниципального образования "Городской округ город Астрахань</t>
    </r>
    <r>
      <rPr>
        <b/>
        <sz val="12"/>
        <color theme="1"/>
        <rFont val="Times New Roman"/>
        <family val="1"/>
        <charset val="204"/>
      </rPr>
      <t>"</t>
    </r>
  </si>
  <si>
    <r>
      <rPr>
        <b/>
        <sz val="12"/>
        <color theme="1"/>
        <rFont val="Times New Roman"/>
        <family val="1"/>
        <charset val="204"/>
      </rPr>
      <t xml:space="preserve">Мероприятие 1.1.1. </t>
    </r>
    <r>
      <rPr>
        <sz val="12"/>
        <color theme="1"/>
        <rFont val="Times New Roman"/>
        <family val="1"/>
        <charset val="204"/>
      </rPr>
      <t>Паспортизация объектов внешнего благоустройства</t>
    </r>
  </si>
  <si>
    <r>
      <rPr>
        <b/>
        <sz val="12"/>
        <color theme="1"/>
        <rFont val="Times New Roman"/>
        <family val="1"/>
        <charset val="204"/>
      </rPr>
      <t xml:space="preserve">Мероприятие 1.1.2. </t>
    </r>
    <r>
      <rPr>
        <sz val="12"/>
        <color theme="1"/>
        <rFont val="Times New Roman"/>
        <family val="1"/>
        <charset val="204"/>
      </rPr>
      <t>Содержание зеленых насаждений и скос сорной растительности</t>
    </r>
  </si>
  <si>
    <t>Администрации Кировского района, Ленинского района, Трусовского района, Советского района</t>
  </si>
  <si>
    <t xml:space="preserve">Администрация Кировского района, </t>
  </si>
  <si>
    <r>
      <t xml:space="preserve">Мероприятие 1.1.3 </t>
    </r>
    <r>
      <rPr>
        <sz val="12"/>
        <color theme="1"/>
        <rFont val="Times New Roman"/>
        <family val="1"/>
        <charset val="204"/>
      </rPr>
      <t>Комплексное содержание  парков, скверов, набережных</t>
    </r>
  </si>
  <si>
    <t>Управление по коммунальному хозяйству и благоустройству администрации МО "Городской округ город Астрахань"" (МБУ г.Астрахани  "Зеленый город")</t>
  </si>
  <si>
    <r>
      <rPr>
        <b/>
        <sz val="12"/>
        <color theme="1"/>
        <rFont val="Times New Roman"/>
        <family val="1"/>
        <charset val="204"/>
      </rPr>
      <t xml:space="preserve">Мероприятие 1.1.4. </t>
    </r>
    <r>
      <rPr>
        <sz val="12"/>
        <color theme="1"/>
        <rFont val="Times New Roman"/>
        <family val="1"/>
        <charset val="204"/>
      </rPr>
      <t>Освещение города Астрахани</t>
    </r>
  </si>
  <si>
    <t xml:space="preserve">Управление по коммунальному хозяйству и благоустройству администрации МО "Городской округ город Астрахань" </t>
  </si>
  <si>
    <r>
      <rPr>
        <b/>
        <sz val="12"/>
        <color theme="1"/>
        <rFont val="Times New Roman"/>
        <family val="1"/>
        <charset val="204"/>
      </rPr>
      <t xml:space="preserve">Мероприятие 1.1.5. </t>
    </r>
    <r>
      <rPr>
        <sz val="12"/>
        <color theme="1"/>
        <rFont val="Times New Roman"/>
        <family val="1"/>
        <charset val="204"/>
      </rPr>
      <t xml:space="preserve">Текущие расходы по благоустройству </t>
    </r>
  </si>
  <si>
    <t>Управление дорожного хозяйства и транспорта МО "Городской округ город Астрахань",  МБУ г. Астрахани  "Мосты и каналы"</t>
  </si>
  <si>
    <t xml:space="preserve"> "МБУ г. Астрахани "Чистый город"</t>
  </si>
  <si>
    <t>Управление по коммунальному хозяйству администрации МО "Городской округ город Астрахань", МБУ  г. Астрахани "Чистый город", МБУ г. Астрахани "Зеленый город"</t>
  </si>
  <si>
    <r>
      <rPr>
        <b/>
        <sz val="12"/>
        <color theme="1"/>
        <rFont val="Times New Roman"/>
        <family val="1"/>
        <charset val="204"/>
      </rPr>
      <t>Мероприятие 1.1.6.</t>
    </r>
    <r>
      <rPr>
        <sz val="12"/>
        <color theme="1"/>
        <rFont val="Times New Roman"/>
        <family val="1"/>
        <charset val="204"/>
      </rPr>
      <t>Организация мероприятий  при осуществлении деятельности по обращению с животными без владельцев</t>
    </r>
  </si>
  <si>
    <t>Управление по коммунальному хозяйству администрации МО "Городской округ город Астрахань", МБУ  г. Астрахани "Чистый город"</t>
  </si>
  <si>
    <t>Управление по коммунальному хозяйству и благоустройству администраци МО "Город Астрахань"</t>
  </si>
  <si>
    <t>МБУ г. Астрахани "Чистый город"</t>
  </si>
  <si>
    <r>
      <rPr>
        <b/>
        <sz val="12"/>
        <color theme="1"/>
        <rFont val="Times New Roman"/>
        <family val="1"/>
        <charset val="204"/>
      </rPr>
      <t xml:space="preserve">Мероприятие 1.1.7. </t>
    </r>
    <r>
      <rPr>
        <sz val="12"/>
        <color theme="1"/>
        <rFont val="Times New Roman"/>
        <family val="1"/>
        <charset val="204"/>
      </rPr>
      <t>Устройство приюта для безнадзорных животных на 300 мест в Наримановском районе Астраханской области</t>
    </r>
  </si>
  <si>
    <t>Управление по каптальному строительству администрации муниципального образования "Городской округ город Астрахань"</t>
  </si>
  <si>
    <r>
      <rPr>
        <b/>
        <sz val="12"/>
        <color theme="1"/>
        <rFont val="Times New Roman"/>
        <family val="1"/>
        <charset val="204"/>
      </rPr>
      <t xml:space="preserve">Мероприятие 1.1.8. </t>
    </r>
    <r>
      <rPr>
        <sz val="12"/>
        <color theme="1"/>
        <rFont val="Times New Roman"/>
        <family val="1"/>
        <charset val="204"/>
      </rPr>
      <t>Уборка улиц города</t>
    </r>
  </si>
  <si>
    <t>Управление по коммунальному хозяйству и благоустройству администрации МО "Городской округ город Астрахань"(МБУ г. Астрахани "Чистый город")</t>
  </si>
  <si>
    <r>
      <t xml:space="preserve">Мероприятие 1.1.9. </t>
    </r>
    <r>
      <rPr>
        <sz val="12"/>
        <color theme="1"/>
        <rFont val="Times New Roman"/>
        <family val="1"/>
        <charset val="204"/>
      </rPr>
      <t>Создание условий для массового летнего отдыха населения города Астрахани</t>
    </r>
  </si>
  <si>
    <r>
      <t xml:space="preserve">Мероприятие 1.1.10.  </t>
    </r>
    <r>
      <rPr>
        <sz val="12"/>
        <rFont val="Times New Roman"/>
        <family val="1"/>
        <charset val="204"/>
      </rPr>
      <t>Благоустройство придомовых территорий</t>
    </r>
  </si>
  <si>
    <t>Управление по коммунальному хозяйству и благоустройству администраци МО "Городской округ город Астрахань"</t>
  </si>
  <si>
    <r>
      <t xml:space="preserve">Мероприятие 1.1.11.   </t>
    </r>
    <r>
      <rPr>
        <sz val="12"/>
        <rFont val="Times New Roman"/>
        <family val="1"/>
        <charset val="204"/>
      </rPr>
      <t>Проведение городского конкурса на лучшее благоустройство и озеленение территорий, прилегающих к многоквартирным домам, предприятиям общественного питания и торговли»</t>
    </r>
  </si>
  <si>
    <t>Администрация муниципального образования "Городской округ город Астрахань" (Управление торговли и поддержки предпринимательства муниципального образования "Городской округ город Астрахань")</t>
  </si>
  <si>
    <r>
      <t xml:space="preserve">Мероприятие 1.1.11. </t>
    </r>
    <r>
      <rPr>
        <sz val="12"/>
        <rFont val="Times New Roman"/>
        <family val="1"/>
        <charset val="204"/>
      </rPr>
      <t>Изготовление и установка аншлагов топонимических объектов</t>
    </r>
  </si>
  <si>
    <t>Администрация Кировского района</t>
  </si>
  <si>
    <r>
      <t xml:space="preserve">Мероприятие 1.1.12. </t>
    </r>
    <r>
      <rPr>
        <sz val="12"/>
        <rFont val="Times New Roman"/>
        <family val="1"/>
        <charset val="204"/>
      </rPr>
      <t>Разработка рабочей документации по благоустройству муниципальных территорий общего пользования (парки, скверы, набережные и т.д.)</t>
    </r>
  </si>
  <si>
    <t>Управление по коммунальному хозяйству и благоустройству администрации муниципального образования "Городской округ город Астрахань"</t>
  </si>
  <si>
    <r>
      <t xml:space="preserve">Мероприятие 1.1.13 </t>
    </r>
    <r>
      <rPr>
        <sz val="12"/>
        <rFont val="Times New Roman"/>
        <family val="1"/>
        <charset val="204"/>
      </rPr>
      <t>Развитие территориальных округов</t>
    </r>
  </si>
  <si>
    <t>Итого</t>
  </si>
  <si>
    <t xml:space="preserve">Администрация Ленинского района </t>
  </si>
  <si>
    <t xml:space="preserve">Администрация Советского района </t>
  </si>
  <si>
    <t xml:space="preserve">Администрация Трусовского района </t>
  </si>
  <si>
    <t>Управление по коммунальному хозяйству и благоустройству администрации МО "Городской округ город Астрахань", МБУ  г.Астрахани "Зеленый город"</t>
  </si>
  <si>
    <t>ж</t>
  </si>
  <si>
    <r>
      <t xml:space="preserve">Мероприятие 1.1.14 </t>
    </r>
    <r>
      <rPr>
        <sz val="12"/>
        <rFont val="Times New Roman"/>
        <family val="1"/>
        <charset val="204"/>
      </rPr>
      <t>Обустройство контейнерных площадок</t>
    </r>
  </si>
  <si>
    <t>Администрации Ленинского района,Трусовского района,Кировского района, Советского района</t>
  </si>
  <si>
    <r>
      <t xml:space="preserve">Задача 1.2. </t>
    </r>
    <r>
      <rPr>
        <sz val="12"/>
        <color theme="1"/>
        <rFont val="Times New Roman"/>
        <family val="1"/>
        <charset val="204"/>
      </rPr>
      <t xml:space="preserve">Организация праздничного пространства на территории МО "Городской округ город Астрахань" </t>
    </r>
  </si>
  <si>
    <t>Администрация Совесткого района</t>
  </si>
  <si>
    <t xml:space="preserve">Администрация Кировского района </t>
  </si>
  <si>
    <r>
      <t xml:space="preserve">Мероприятие 1.2.1. </t>
    </r>
    <r>
      <rPr>
        <sz val="12"/>
        <color theme="1"/>
        <rFont val="Times New Roman"/>
        <family val="1"/>
        <charset val="204"/>
      </rPr>
      <t>Организация и содержание новогодней ели и праздничной иллюминации</t>
    </r>
  </si>
  <si>
    <t>Администрации Ленинского района, Кировского района, Трусовского района, Советского района</t>
  </si>
  <si>
    <t>Итого по Задаче 1.2</t>
  </si>
  <si>
    <t>Итого по Подпрограмме</t>
  </si>
  <si>
    <t>Подпрограмма 2 "Формирование современной городской среды"</t>
  </si>
  <si>
    <r>
      <t xml:space="preserve">Цель 2.1. </t>
    </r>
    <r>
      <rPr>
        <sz val="12"/>
        <color theme="1"/>
        <rFont val="Times New Roman"/>
        <family val="1"/>
        <charset val="204"/>
      </rPr>
      <t>Повышение качества и комфорта городской среды на территориии города Астрахани</t>
    </r>
  </si>
  <si>
    <r>
      <t xml:space="preserve">Задача 2.1. </t>
    </r>
    <r>
      <rPr>
        <sz val="12"/>
        <color theme="1"/>
        <rFont val="Times New Roman"/>
        <family val="1"/>
        <charset val="204"/>
      </rPr>
      <t>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t>
    </r>
  </si>
  <si>
    <r>
      <t xml:space="preserve">Мероприятие 2.1.1. </t>
    </r>
    <r>
      <rPr>
        <sz val="12"/>
        <color theme="1"/>
        <rFont val="Times New Roman"/>
        <family val="1"/>
        <charset val="204"/>
      </rPr>
      <t>Благоустройство дворовых территорий многоквартирных домов</t>
    </r>
  </si>
  <si>
    <r>
      <t xml:space="preserve">Мероприятие 2.1.2. </t>
    </r>
    <r>
      <rPr>
        <sz val="12"/>
        <color theme="1"/>
        <rFont val="Times New Roman"/>
        <family val="1"/>
        <charset val="204"/>
      </rPr>
      <t>Благоустройство муниципальных территорий общего пользования (парки, скверы, набережные и т.д.)</t>
    </r>
  </si>
  <si>
    <r>
      <t xml:space="preserve">Мероприятие 2.1.3. </t>
    </r>
    <r>
      <rPr>
        <sz val="12"/>
        <color theme="1"/>
        <rFont val="Times New Roman"/>
        <family val="1"/>
        <charset val="204"/>
      </rPr>
      <t>Разработка проектно-сметной документации по благоустройству дворовых территорий</t>
    </r>
  </si>
  <si>
    <t>Итого по Задаче 2.1.</t>
  </si>
  <si>
    <r>
      <t xml:space="preserve">Задача 2.2. </t>
    </r>
    <r>
      <rPr>
        <sz val="12"/>
        <color theme="1"/>
        <rFont val="Times New Roman"/>
        <family val="1"/>
        <charset val="204"/>
      </rPr>
      <t>Создание универсальных механизмов вовлеченности заинтересованных граждан, организаций в реализацию мероприятий по благоустройству территории муниципального образования "Город Астрахань"</t>
    </r>
  </si>
  <si>
    <r>
      <t xml:space="preserve">Мероприятие 2.2.1. </t>
    </r>
    <r>
      <rPr>
        <sz val="12"/>
        <color theme="1"/>
        <rFont val="Times New Roman"/>
        <family val="1"/>
        <charset val="204"/>
      </rPr>
      <t>Вовлечение заинтересованных граждан, организаций в реализацию мероприятий по благоустройству территории муниципального образования "Город Астрахань"</t>
    </r>
  </si>
  <si>
    <t>Итого по Задаче 2.2</t>
  </si>
  <si>
    <t xml:space="preserve"> </t>
  </si>
  <si>
    <t>Итого по муниципальной Программе</t>
  </si>
  <si>
    <t xml:space="preserve">Начальник управления </t>
  </si>
  <si>
    <t>Т.Р. Калинкин</t>
  </si>
  <si>
    <t>Начальник управления</t>
  </si>
  <si>
    <t>С.А. Дронов</t>
  </si>
  <si>
    <t>%</t>
  </si>
  <si>
    <r>
      <t xml:space="preserve">Показатель 1. </t>
    </r>
    <r>
      <rPr>
        <sz val="10"/>
        <rFont val="Times New Roman"/>
        <family val="1"/>
        <charset val="204"/>
      </rPr>
      <t>Доля вовлеченных заинтересованных граждан, организаций в реализацию мероприятий по благоустройству территории муниципального образования «Городской округ город Астрахань»</t>
    </r>
  </si>
  <si>
    <t>Управление по коммунальному хозяйству и благоустройству администрации МО "Город Астрахань</t>
  </si>
  <si>
    <r>
      <t xml:space="preserve">Мероприятие 2.2.1. </t>
    </r>
    <r>
      <rPr>
        <sz val="10"/>
        <rFont val="Times New Roman"/>
        <family val="1"/>
        <charset val="204"/>
      </rPr>
      <t>Вовлечение заинтересованных граждан, организаций в реализацию мероприятий по благоустройству территории муниципального образования «Городской округ город Астрахань»</t>
    </r>
  </si>
  <si>
    <r>
      <t xml:space="preserve">Позазатель 1. </t>
    </r>
    <r>
      <rPr>
        <sz val="10"/>
        <rFont val="Times New Roman"/>
        <family val="1"/>
        <charset val="204"/>
      </rPr>
      <t>Доля населения города Астрахани, охваченного формированием городской среды</t>
    </r>
  </si>
  <si>
    <t>Задача 2.2. Создание универсальных механизмов вовлеченности заинтересованных граждан, организаций в реализацию мероприятий по благоустройству территории муниципального образования "Городской округ город Астрахань"</t>
  </si>
  <si>
    <t>ед.</t>
  </si>
  <si>
    <r>
      <t xml:space="preserve">Показатель 1. </t>
    </r>
    <r>
      <rPr>
        <sz val="10"/>
        <rFont val="Times New Roman"/>
        <family val="1"/>
        <charset val="204"/>
      </rPr>
      <t>Количество благоустроенных муниципальных территорий общего пользования</t>
    </r>
  </si>
  <si>
    <r>
      <t xml:space="preserve">Мероприятие 2.1.2. </t>
    </r>
    <r>
      <rPr>
        <sz val="10"/>
        <rFont val="Times New Roman"/>
        <family val="1"/>
        <charset val="204"/>
      </rPr>
      <t>Благоустройство муниципальных территорий общего пользования (парки, скверы, набережные и т.д.)</t>
    </r>
  </si>
  <si>
    <r>
      <t xml:space="preserve">Показатель 1. </t>
    </r>
    <r>
      <rPr>
        <sz val="10"/>
        <rFont val="Times New Roman"/>
        <family val="1"/>
        <charset val="204"/>
      </rPr>
      <t>Количество благоустроенных дворовых территорий</t>
    </r>
  </si>
  <si>
    <r>
      <t xml:space="preserve">Мероприятие 2.1.1. </t>
    </r>
    <r>
      <rPr>
        <sz val="10"/>
        <rFont val="Times New Roman"/>
        <family val="1"/>
        <charset val="204"/>
      </rPr>
      <t>Благоустройство дворовых территорий многоквартирных домов</t>
    </r>
  </si>
  <si>
    <r>
      <t xml:space="preserve">Показатель 2. </t>
    </r>
    <r>
      <rPr>
        <sz val="10"/>
        <rFont val="Times New Roman"/>
        <family val="1"/>
        <charset val="204"/>
      </rPr>
      <t>Доля благоустроенных  дворовых территорий участвующих в Подпрограмме</t>
    </r>
  </si>
  <si>
    <r>
      <t xml:space="preserve">Показатель 1. </t>
    </r>
    <r>
      <rPr>
        <sz val="10"/>
        <rFont val="Times New Roman"/>
        <family val="1"/>
        <charset val="204"/>
      </rPr>
      <t>Доля благоустроенных территорий общего пользования (парки, скверы, набережные и т.д.) участвующих в Подпрограмме</t>
    </r>
  </si>
  <si>
    <r>
      <t xml:space="preserve">Задача 2.1. </t>
    </r>
    <r>
      <rPr>
        <sz val="10"/>
        <rFont val="Times New Roman"/>
        <family val="1"/>
        <charset val="204"/>
      </rPr>
      <t>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t>
    </r>
  </si>
  <si>
    <r>
      <t xml:space="preserve">Показатель 1. </t>
    </r>
    <r>
      <rPr>
        <sz val="10"/>
        <rFont val="Times New Roman"/>
        <family val="1"/>
        <charset val="204"/>
      </rPr>
      <t>Уровень благоустроенных территорий общего пользования (парки, скверы, набережные и т.д.) и дворовых территорий, участвующих в Подпрограмме</t>
    </r>
  </si>
  <si>
    <r>
      <t xml:space="preserve">Цель 2.1. </t>
    </r>
    <r>
      <rPr>
        <sz val="10"/>
        <rFont val="Times New Roman"/>
        <family val="1"/>
        <charset val="204"/>
      </rPr>
      <t>Повышение качества и комфорта городской среды на территории города Астрахани</t>
    </r>
  </si>
  <si>
    <r>
      <t xml:space="preserve">Показатель 1. </t>
    </r>
    <r>
      <rPr>
        <sz val="10"/>
        <color theme="1"/>
        <rFont val="Times New Roman"/>
        <family val="1"/>
        <charset val="204"/>
      </rPr>
      <t>Количество новогодних елей и праздничной иллюминации</t>
    </r>
  </si>
  <si>
    <t>Администрация Ленинского района, Трусовского района, Кировского района, Советского района города Астрахани</t>
  </si>
  <si>
    <r>
      <t xml:space="preserve">Мероприятие 1.2.1 </t>
    </r>
    <r>
      <rPr>
        <sz val="10"/>
        <rFont val="Times New Roman"/>
        <family val="1"/>
        <charset val="204"/>
      </rPr>
      <t>Организация и содержание новогодней ели и праздничной иллюминации</t>
    </r>
  </si>
  <si>
    <t>ед</t>
  </si>
  <si>
    <t>Показатель 1. Количество благоустроенных территорий</t>
  </si>
  <si>
    <t>Показатель 2. Количество отремонтированных контейнерных площадок</t>
  </si>
  <si>
    <t>Администрации Трусовского района, Кировского района,Советского района</t>
  </si>
  <si>
    <r>
      <rPr>
        <b/>
        <sz val="10"/>
        <color theme="1"/>
        <rFont val="Times New Roman"/>
        <family val="1"/>
        <charset val="204"/>
      </rPr>
      <t>Показатель</t>
    </r>
    <r>
      <rPr>
        <sz val="10"/>
        <color theme="1"/>
        <rFont val="Times New Roman"/>
        <family val="1"/>
        <charset val="204"/>
      </rPr>
      <t xml:space="preserve"> 1. Количество обустроенных контейнерных площадок</t>
    </r>
  </si>
  <si>
    <r>
      <t xml:space="preserve">Мероприятие 1.1.14 </t>
    </r>
    <r>
      <rPr>
        <sz val="10"/>
        <rFont val="Times New Roman"/>
        <family val="1"/>
        <charset val="204"/>
      </rPr>
      <t>Обустройство контейнерных площадок</t>
    </r>
  </si>
  <si>
    <r>
      <t>Показатель 1</t>
    </r>
    <r>
      <rPr>
        <sz val="10"/>
        <color theme="1"/>
        <rFont val="Times New Roman"/>
        <family val="1"/>
        <charset val="204"/>
      </rPr>
      <t xml:space="preserve"> Количество городских районов</t>
    </r>
  </si>
  <si>
    <t>Администрации районов, Управление по коммунальному хозяйству и благоустройству администрации МО "Городской округ город Астрахань" (МБУ г. Астрахани "Зеленй город")</t>
  </si>
  <si>
    <r>
      <t xml:space="preserve">Мероприятие 1.1.13 </t>
    </r>
    <r>
      <rPr>
        <sz val="10"/>
        <rFont val="Times New Roman"/>
        <family val="1"/>
        <charset val="204"/>
      </rPr>
      <t>Развитие территориальных округов</t>
    </r>
  </si>
  <si>
    <t>шт.</t>
  </si>
  <si>
    <r>
      <t xml:space="preserve">Показатель 1. </t>
    </r>
    <r>
      <rPr>
        <sz val="10"/>
        <color theme="1"/>
        <rFont val="Times New Roman"/>
        <family val="1"/>
        <charset val="204"/>
      </rPr>
      <t>Количество разработанной  технической документации</t>
    </r>
  </si>
  <si>
    <t>Управление по коммунальному хозяйству и благоусвтройству администраци МО "Городской округ город Астрахань"</t>
  </si>
  <si>
    <r>
      <t xml:space="preserve">Мероприятие 1.1.12. </t>
    </r>
    <r>
      <rPr>
        <sz val="10"/>
        <rFont val="Times New Roman"/>
        <family val="1"/>
        <charset val="204"/>
      </rPr>
      <t>Разработка рабочей документации по благоустройству муниципальных территорий общего пользования (парки, скверы, набережные и т.д.)</t>
    </r>
  </si>
  <si>
    <r>
      <t xml:space="preserve">Показатель 1. </t>
    </r>
    <r>
      <rPr>
        <sz val="10"/>
        <color theme="1"/>
        <rFont val="Times New Roman"/>
        <family val="1"/>
        <charset val="204"/>
      </rPr>
      <t>Количество изготовленных и установленных аншлагов топонимических объектов</t>
    </r>
  </si>
  <si>
    <r>
      <t xml:space="preserve">Мероприятие 1.1.11. Изготовление и установка </t>
    </r>
    <r>
      <rPr>
        <sz val="10"/>
        <rFont val="Times New Roman"/>
        <family val="1"/>
        <charset val="204"/>
      </rPr>
      <t>аншлагов топонимических объектов</t>
    </r>
  </si>
  <si>
    <r>
      <t xml:space="preserve">Показатель 1. </t>
    </r>
    <r>
      <rPr>
        <sz val="10"/>
        <color theme="1"/>
        <rFont val="Times New Roman"/>
        <family val="1"/>
        <charset val="204"/>
      </rPr>
      <t>Количество благоустроенных и озелененных территорий по итогам проведенного конкурса</t>
    </r>
  </si>
  <si>
    <t>Администрация муниципального образования «Городской округ город Астрахань» (Управление торговли и поддержки предпринимательства администрации МО «Городской округ город Астрахань»)</t>
  </si>
  <si>
    <r>
      <t xml:space="preserve">Мероприятие 1.1.11. </t>
    </r>
    <r>
      <rPr>
        <sz val="10"/>
        <rFont val="Times New Roman"/>
        <family val="1"/>
        <charset val="204"/>
      </rPr>
      <t>Проведение городского конкурса на лучшее благоустройство и озеленение территорий, прилегающих к многоквартирным домам, предприятиям общественного питания и торговли</t>
    </r>
  </si>
  <si>
    <r>
      <t xml:space="preserve">Показатель 1. </t>
    </r>
    <r>
      <rPr>
        <sz val="10"/>
        <color theme="1"/>
        <rFont val="Times New Roman"/>
        <family val="1"/>
        <charset val="204"/>
      </rPr>
      <t>Количество благоустроенных придомовых территорий</t>
    </r>
  </si>
  <si>
    <r>
      <t xml:space="preserve">Мероприятие 1.1.10.  </t>
    </r>
    <r>
      <rPr>
        <sz val="10"/>
        <rFont val="Times New Roman"/>
        <family val="1"/>
        <charset val="204"/>
      </rPr>
      <t>Благоустройство придомовых территорий</t>
    </r>
  </si>
  <si>
    <r>
      <t xml:space="preserve">Показатель 1. </t>
    </r>
    <r>
      <rPr>
        <sz val="10"/>
        <color theme="1"/>
        <rFont val="Times New Roman"/>
        <family val="1"/>
        <charset val="204"/>
      </rPr>
      <t>Количество открытых официальных мест массового летнего отдыха</t>
    </r>
  </si>
  <si>
    <r>
      <t xml:space="preserve">Мероприятие 1.1.9. </t>
    </r>
    <r>
      <rPr>
        <sz val="10"/>
        <rFont val="Times New Roman"/>
        <family val="1"/>
        <charset val="204"/>
      </rPr>
      <t>Создание условий для массового летнего отдыха населения города Астрахани</t>
    </r>
  </si>
  <si>
    <r>
      <t xml:space="preserve">Показатель 1.    </t>
    </r>
    <r>
      <rPr>
        <sz val="10"/>
        <color theme="1"/>
        <rFont val="Times New Roman"/>
        <family val="1"/>
        <charset val="204"/>
      </rPr>
      <t>Районы города, на которых производится уборка улиц (МБУ г. Астрахани "Чистый город")</t>
    </r>
  </si>
  <si>
    <r>
      <t xml:space="preserve">Мероприятие 1.1.8.  </t>
    </r>
    <r>
      <rPr>
        <sz val="10"/>
        <rFont val="Times New Roman"/>
        <family val="1"/>
        <charset val="204"/>
      </rPr>
      <t>Уборка улиц города</t>
    </r>
  </si>
  <si>
    <r>
      <t xml:space="preserve">Показатель 1. </t>
    </r>
    <r>
      <rPr>
        <sz val="10"/>
        <color theme="1"/>
        <rFont val="Times New Roman"/>
        <family val="1"/>
        <charset val="204"/>
      </rPr>
      <t>Количество устроенных приютов</t>
    </r>
  </si>
  <si>
    <t>Управление по капитальному строительтву админстрации МО "Городской округ город Астрахань"</t>
  </si>
  <si>
    <r>
      <t xml:space="preserve">Мероприятие 1.1.7. </t>
    </r>
    <r>
      <rPr>
        <sz val="10"/>
        <rFont val="Times New Roman"/>
        <family val="1"/>
        <charset val="204"/>
      </rPr>
      <t>Устройство приюта для безнадзорных  животных на 300 мест в Наримановском районе Астраханской области</t>
    </r>
  </si>
  <si>
    <t>голов</t>
  </si>
  <si>
    <r>
      <t xml:space="preserve">Показатель 1. </t>
    </r>
    <r>
      <rPr>
        <sz val="10"/>
        <color theme="1"/>
        <rFont val="Times New Roman"/>
        <family val="1"/>
        <charset val="204"/>
      </rPr>
      <t>Количество отловленных безнадзорных животных</t>
    </r>
  </si>
  <si>
    <r>
      <t xml:space="preserve">Мероприятие 1.1.6. </t>
    </r>
    <r>
      <rPr>
        <sz val="10"/>
        <rFont val="Times New Roman"/>
        <family val="1"/>
        <charset val="204"/>
      </rPr>
      <t>Организация мероприятий  при осуществлении деятельности по обращению с животными без владельцев</t>
    </r>
  </si>
  <si>
    <t>новый показатель</t>
  </si>
  <si>
    <t>Показатель.18 Количество приобретенной техники</t>
  </si>
  <si>
    <t>Управление по коммунальному хозяйству и благоустройству администрации МО "Городской округ город Астрахань", "МБУ г. Астрахани "Чистый город"</t>
  </si>
  <si>
    <r>
      <rPr>
        <b/>
        <sz val="10"/>
        <color theme="1"/>
        <rFont val="Times New Roman"/>
        <family val="1"/>
        <charset val="204"/>
      </rPr>
      <t>Показатель 17</t>
    </r>
    <r>
      <rPr>
        <sz val="10"/>
        <color theme="1"/>
        <rFont val="Times New Roman"/>
        <family val="1"/>
        <charset val="204"/>
      </rPr>
      <t>.  Колличество разработанных проектов санитарно-защитных зон и программ производственного экологического контроля (ПЭК)</t>
    </r>
  </si>
  <si>
    <r>
      <rPr>
        <b/>
        <sz val="10"/>
        <color theme="1"/>
        <rFont val="Times New Roman"/>
        <family val="1"/>
        <charset val="204"/>
      </rPr>
      <t>Показатель 16</t>
    </r>
    <r>
      <rPr>
        <sz val="10"/>
        <color theme="1"/>
        <rFont val="Times New Roman"/>
        <family val="1"/>
        <charset val="204"/>
      </rPr>
      <t>. Обслуживание и ремонт гидротехнических сооружений</t>
    </r>
  </si>
  <si>
    <r>
      <rPr>
        <b/>
        <sz val="10"/>
        <color theme="1"/>
        <rFont val="Times New Roman"/>
        <family val="1"/>
        <charset val="204"/>
      </rPr>
      <t>Показатель 15</t>
    </r>
    <r>
      <rPr>
        <sz val="10"/>
        <color theme="1"/>
        <rFont val="Times New Roman"/>
        <family val="1"/>
        <charset val="204"/>
      </rPr>
      <t>. Изготовление аншлагов топонимических объектов</t>
    </r>
  </si>
  <si>
    <r>
      <rPr>
        <b/>
        <sz val="10"/>
        <rFont val="Times New Roman"/>
        <family val="1"/>
        <charset val="204"/>
      </rPr>
      <t>Показатель 15</t>
    </r>
    <r>
      <rPr>
        <sz val="10"/>
        <rFont val="Times New Roman"/>
        <family val="1"/>
        <charset val="204"/>
      </rPr>
      <t>. Проведение экспертизы памятников</t>
    </r>
  </si>
  <si>
    <t>изменить название показателя</t>
  </si>
  <si>
    <r>
      <rPr>
        <b/>
        <sz val="10"/>
        <rFont val="Times New Roman"/>
        <family val="1"/>
        <charset val="204"/>
      </rPr>
      <t>Показатель 14</t>
    </r>
    <r>
      <rPr>
        <sz val="10"/>
        <rFont val="Times New Roman"/>
        <family val="1"/>
        <charset val="204"/>
      </rPr>
      <t>.Содержание объектов внешнего благоустройства</t>
    </r>
  </si>
  <si>
    <r>
      <rPr>
        <b/>
        <sz val="10"/>
        <color theme="1"/>
        <rFont val="Times New Roman"/>
        <family val="1"/>
        <charset val="204"/>
      </rPr>
      <t>Показатель 13.</t>
    </r>
    <r>
      <rPr>
        <sz val="10"/>
        <color theme="1"/>
        <rFont val="Times New Roman"/>
        <family val="1"/>
        <charset val="204"/>
      </rPr>
      <t xml:space="preserve">  Ремонт памятников и братских могил</t>
    </r>
  </si>
  <si>
    <r>
      <rPr>
        <b/>
        <sz val="10"/>
        <color theme="1"/>
        <rFont val="Times New Roman"/>
        <family val="1"/>
        <charset val="204"/>
      </rPr>
      <t>Показатель 12.</t>
    </r>
    <r>
      <rPr>
        <sz val="10"/>
        <color theme="1"/>
        <rFont val="Times New Roman"/>
        <family val="1"/>
        <charset val="204"/>
      </rPr>
      <t xml:space="preserve"> Приобретение декоративного освещения</t>
    </r>
  </si>
  <si>
    <r>
      <rPr>
        <b/>
        <sz val="10"/>
        <color theme="1"/>
        <rFont val="Times New Roman"/>
        <family val="1"/>
        <charset val="204"/>
      </rPr>
      <t>Показатель 11</t>
    </r>
    <r>
      <rPr>
        <sz val="10"/>
        <color theme="1"/>
        <rFont val="Times New Roman"/>
        <family val="1"/>
        <charset val="204"/>
      </rPr>
      <t xml:space="preserve"> Элементы городской навигации</t>
    </r>
  </si>
  <si>
    <r>
      <t xml:space="preserve">Показатель 10 </t>
    </r>
    <r>
      <rPr>
        <sz val="10"/>
        <color theme="1"/>
        <rFont val="Times New Roman"/>
        <family val="1"/>
        <charset val="204"/>
      </rPr>
      <t xml:space="preserve">Изготовление аншлагов топонимических объектов </t>
    </r>
  </si>
  <si>
    <t xml:space="preserve"> Администрация Ленинского района</t>
  </si>
  <si>
    <r>
      <t xml:space="preserve">Показатель 9. </t>
    </r>
    <r>
      <rPr>
        <sz val="10"/>
        <color theme="1"/>
        <rFont val="Times New Roman"/>
        <family val="1"/>
        <charset val="204"/>
      </rPr>
      <t xml:space="preserve">Изготовление и установка агитационных щитов </t>
    </r>
  </si>
  <si>
    <r>
      <t xml:space="preserve">Показатель 8. </t>
    </r>
    <r>
      <rPr>
        <sz val="10"/>
        <color theme="1"/>
        <rFont val="Times New Roman"/>
        <family val="1"/>
        <charset val="204"/>
      </rPr>
      <t>Количество подпорных стенок на прилегающей территории к дому по ул. С.Перовской,94</t>
    </r>
  </si>
  <si>
    <t>м2</t>
  </si>
  <si>
    <r>
      <t xml:space="preserve">Показатель 7. </t>
    </r>
    <r>
      <rPr>
        <sz val="10"/>
        <color theme="1"/>
        <rFont val="Times New Roman"/>
        <family val="1"/>
        <charset val="204"/>
      </rPr>
      <t>Площадь скошенной растительности на территории кладбища</t>
    </r>
  </si>
  <si>
    <r>
      <t xml:space="preserve">Показатель 6. </t>
    </r>
    <r>
      <rPr>
        <sz val="10"/>
        <color theme="1"/>
        <rFont val="Times New Roman"/>
        <family val="1"/>
        <charset val="204"/>
      </rPr>
      <t>Площадь территории, подвергшейся гербецидной обработке</t>
    </r>
  </si>
  <si>
    <t>ч</t>
  </si>
  <si>
    <r>
      <t>Показатель 5.</t>
    </r>
    <r>
      <rPr>
        <sz val="10"/>
        <color theme="1"/>
        <rFont val="Times New Roman"/>
        <family val="1"/>
        <charset val="204"/>
      </rPr>
      <t xml:space="preserve"> Продолжительность работы мемориала  "Вечный огонь"</t>
    </r>
  </si>
  <si>
    <t>мес.</t>
  </si>
  <si>
    <r>
      <t xml:space="preserve">Показатель 4. </t>
    </r>
    <r>
      <rPr>
        <sz val="10"/>
        <color theme="1"/>
        <rFont val="Times New Roman"/>
        <family val="1"/>
        <charset val="204"/>
      </rPr>
      <t>Продолжительность хранения незаконно установленных объектов движимого имущества (гаражи, тонары, киоски)</t>
    </r>
  </si>
  <si>
    <t xml:space="preserve">Администрации Кировского района, Ленинского района, Советского района, Трусовского района города Астрахани </t>
  </si>
  <si>
    <r>
      <t xml:space="preserve">Показатель 3. </t>
    </r>
    <r>
      <rPr>
        <sz val="10"/>
        <color theme="1"/>
        <rFont val="Times New Roman"/>
        <family val="1"/>
        <charset val="204"/>
      </rPr>
      <t xml:space="preserve">Количество проведенных субботников </t>
    </r>
  </si>
  <si>
    <t>Администрации Ленинского района, Советского района города Астрахани</t>
  </si>
  <si>
    <r>
      <t xml:space="preserve">Показатель 2.   </t>
    </r>
    <r>
      <rPr>
        <sz val="10"/>
        <color theme="1"/>
        <rFont val="Times New Roman"/>
        <family val="1"/>
        <charset val="204"/>
      </rPr>
      <t>Доля фонтанов от общего количества фонтанов требующих ремонта</t>
    </r>
  </si>
  <si>
    <r>
      <t xml:space="preserve">Показатель 1. </t>
    </r>
    <r>
      <rPr>
        <sz val="10"/>
        <color theme="1"/>
        <rFont val="Times New Roman"/>
        <family val="1"/>
        <charset val="204"/>
      </rPr>
      <t>Количество обслуженных  фонтанов (оплата коммунальных услуг)</t>
    </r>
  </si>
  <si>
    <r>
      <t xml:space="preserve">Мероприятие 1.1.5.  </t>
    </r>
    <r>
      <rPr>
        <sz val="10"/>
        <rFont val="Times New Roman"/>
        <family val="1"/>
        <charset val="204"/>
      </rPr>
      <t>Текущие расходы по благоустройству</t>
    </r>
  </si>
  <si>
    <r>
      <t xml:space="preserve">Показатель 1. </t>
    </r>
    <r>
      <rPr>
        <sz val="10"/>
        <rFont val="Times New Roman"/>
        <family val="1"/>
        <charset val="204"/>
      </rPr>
      <t>Количество обслуженных светоточек</t>
    </r>
  </si>
  <si>
    <r>
      <rPr>
        <b/>
        <sz val="10"/>
        <rFont val="Times New Roman"/>
        <family val="1"/>
        <charset val="204"/>
      </rPr>
      <t xml:space="preserve">Мероприятие 1.1.4. </t>
    </r>
    <r>
      <rPr>
        <sz val="10"/>
        <rFont val="Times New Roman"/>
        <family val="1"/>
        <charset val="204"/>
      </rPr>
      <t>Освещение города Астрахани</t>
    </r>
  </si>
  <si>
    <t>-</t>
  </si>
  <si>
    <r>
      <rPr>
        <b/>
        <sz val="10"/>
        <rFont val="Times New Roman"/>
        <family val="1"/>
        <charset val="204"/>
      </rPr>
      <t>Показатель 2</t>
    </r>
    <r>
      <rPr>
        <sz val="10"/>
        <rFont val="Times New Roman"/>
        <family val="1"/>
        <charset val="204"/>
      </rPr>
      <t>. Количество приобретенных щеподробильных установок</t>
    </r>
  </si>
  <si>
    <r>
      <rPr>
        <b/>
        <sz val="10"/>
        <rFont val="Times New Roman"/>
        <family val="1"/>
        <charset val="204"/>
      </rPr>
      <t xml:space="preserve">Показатель 1. </t>
    </r>
    <r>
      <rPr>
        <sz val="10"/>
        <rFont val="Times New Roman"/>
        <family val="1"/>
        <charset val="204"/>
      </rPr>
      <t>Количество обслуженных парков, скверов и набережных (МБУ г.Астрахани "Зеленый город")</t>
    </r>
  </si>
  <si>
    <t>Управление по коммунальному хозяйству и благоустройству администрации МО "Городской округ город Астрахань" (МБУ г.Астрахани "Зеленый город")</t>
  </si>
  <si>
    <r>
      <rPr>
        <b/>
        <sz val="10"/>
        <rFont val="Times New Roman"/>
        <family val="1"/>
        <charset val="204"/>
      </rPr>
      <t>Мероприятие 1.1.3</t>
    </r>
    <r>
      <rPr>
        <sz val="10"/>
        <rFont val="Times New Roman"/>
        <family val="1"/>
        <charset val="204"/>
      </rPr>
      <t xml:space="preserve"> Комплексное содержание парков, скверов, набережных</t>
    </r>
  </si>
  <si>
    <t>тыс. м2</t>
  </si>
  <si>
    <r>
      <rPr>
        <b/>
        <sz val="10"/>
        <rFont val="Times New Roman"/>
        <family val="1"/>
        <charset val="204"/>
      </rPr>
      <t xml:space="preserve">Показатель 1. </t>
    </r>
    <r>
      <rPr>
        <sz val="10"/>
        <rFont val="Times New Roman"/>
        <family val="1"/>
        <charset val="204"/>
      </rPr>
      <t>Площадь скошенной растительности</t>
    </r>
  </si>
  <si>
    <t>Администрации Трусовского района, Кировского района, Ленинского района, Советского района города Астрахани</t>
  </si>
  <si>
    <r>
      <rPr>
        <b/>
        <sz val="10"/>
        <rFont val="Times New Roman"/>
        <family val="1"/>
        <charset val="204"/>
      </rPr>
      <t xml:space="preserve">Мероприятие 1.1.2. </t>
    </r>
    <r>
      <rPr>
        <sz val="10"/>
        <rFont val="Times New Roman"/>
        <family val="1"/>
        <charset val="204"/>
      </rPr>
      <t>Содержание зеленых насаждений и скос сорной растительности</t>
    </r>
  </si>
  <si>
    <r>
      <rPr>
        <b/>
        <sz val="10"/>
        <rFont val="Times New Roman"/>
        <family val="1"/>
        <charset val="204"/>
      </rPr>
      <t xml:space="preserve">Показатель 1. </t>
    </r>
    <r>
      <rPr>
        <sz val="10"/>
        <rFont val="Times New Roman"/>
        <family val="1"/>
        <charset val="204"/>
      </rPr>
      <t>Количество выданных паспортов  объектов внешнего благоустройства</t>
    </r>
  </si>
  <si>
    <t>Управление по коммунальному хозяйству и благоустройству администрации МО  "Городской округ город Астрахань"</t>
  </si>
  <si>
    <r>
      <rPr>
        <b/>
        <sz val="10"/>
        <rFont val="Times New Roman"/>
        <family val="1"/>
        <charset val="204"/>
      </rPr>
      <t>Мероприятие 1.1.1.</t>
    </r>
    <r>
      <rPr>
        <sz val="10"/>
        <rFont val="Times New Roman"/>
        <family val="1"/>
        <charset val="204"/>
      </rPr>
      <t xml:space="preserve"> Паспортизация объектов внешнего благоустройства</t>
    </r>
  </si>
  <si>
    <r>
      <rPr>
        <b/>
        <sz val="10"/>
        <rFont val="Times New Roman"/>
        <family val="1"/>
        <charset val="204"/>
      </rPr>
      <t xml:space="preserve">Показатель 1. </t>
    </r>
    <r>
      <rPr>
        <sz val="10"/>
        <rFont val="Times New Roman"/>
        <family val="1"/>
        <charset val="204"/>
      </rPr>
      <t xml:space="preserve"> Доля благоустроенных рекреационных зон от общей доли рекреационных зон</t>
    </r>
  </si>
  <si>
    <t>Управление по коммунальному хозяйству и благоустройству администрации МО "Городской округ город Астрахань" (МБУ г. Астрахани "Чистый город, МБУ г. Астрахани "Зеленый город", МБУ г. Астрахани "Мосты и каналы"),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«Городской округ город Астрахань» (Управление торговли и поддержки предпринимательства муниципального образования «Городской округ город Астрахань», Управление по капитальному строительству администрации МО "Городской округ город Астрахань")</t>
  </si>
  <si>
    <r>
      <t xml:space="preserve">Задача 1.1.  </t>
    </r>
    <r>
      <rPr>
        <sz val="10"/>
        <rFont val="Times New Roman"/>
        <family val="1"/>
        <charset val="204"/>
      </rPr>
      <t>Повышение уровня благоустроенности рекреационных зон в границах МО «Городской округ город Астрахань»</t>
    </r>
  </si>
  <si>
    <r>
      <rPr>
        <b/>
        <sz val="10"/>
        <rFont val="Times New Roman"/>
        <family val="1"/>
        <charset val="204"/>
      </rPr>
      <t xml:space="preserve">Показатель 1. </t>
    </r>
    <r>
      <rPr>
        <sz val="10"/>
        <rFont val="Times New Roman"/>
        <family val="1"/>
        <charset val="204"/>
      </rPr>
      <t>Удовлетворенность жителей города комфортными условиями для отдыха и досуга</t>
    </r>
  </si>
  <si>
    <r>
      <t xml:space="preserve">Цель 1.1. </t>
    </r>
    <r>
      <rPr>
        <sz val="10"/>
        <rFont val="Times New Roman"/>
        <family val="1"/>
        <charset val="204"/>
      </rPr>
      <t>Поддержание благоприятных и комфортных условий для отдыха и досуга жителей города</t>
    </r>
  </si>
  <si>
    <t>Подпрограмма 1 "Благоустройство территорий города для обеспечения отдыха и досуга жителей"</t>
  </si>
  <si>
    <r>
      <rPr>
        <b/>
        <sz val="10"/>
        <color theme="1"/>
        <rFont val="Times New Roman"/>
        <family val="1"/>
        <charset val="204"/>
      </rPr>
      <t xml:space="preserve">Показатель 1. </t>
    </r>
    <r>
      <rPr>
        <sz val="10"/>
        <color theme="1"/>
        <rFont val="Times New Roman"/>
        <family val="1"/>
        <charset val="204"/>
      </rPr>
      <t>Погашение задолженности по оплате труда</t>
    </r>
  </si>
  <si>
    <r>
      <rPr>
        <b/>
        <sz val="10"/>
        <color theme="1"/>
        <rFont val="Times New Roman"/>
        <family val="1"/>
        <charset val="204"/>
      </rPr>
      <t>Основное мероприятие 1.6.1.</t>
    </r>
    <r>
      <rPr>
        <sz val="10"/>
        <color theme="1"/>
        <rFont val="Times New Roman"/>
        <family val="1"/>
        <charset val="204"/>
      </rPr>
      <t xml:space="preserve"> Оказание финансовой помощи на погашение задолженности по оплате труда в целях предупреждения банкротства муниципальных унитарных предприятий города Астрахани</t>
    </r>
  </si>
  <si>
    <r>
      <rPr>
        <b/>
        <sz val="10"/>
        <color theme="1"/>
        <rFont val="Times New Roman"/>
        <family val="1"/>
        <charset val="204"/>
      </rPr>
      <t xml:space="preserve">Показатель 1. </t>
    </r>
    <r>
      <rPr>
        <sz val="10"/>
        <color theme="1"/>
        <rFont val="Times New Roman"/>
        <family val="1"/>
        <charset val="204"/>
      </rPr>
      <t>Удовлетворенность потребителей бытовыми услугами</t>
    </r>
  </si>
  <si>
    <r>
      <rPr>
        <b/>
        <sz val="10"/>
        <color theme="1"/>
        <rFont val="Times New Roman"/>
        <family val="1"/>
        <charset val="204"/>
      </rPr>
      <t>Задача 1.6.</t>
    </r>
    <r>
      <rPr>
        <sz val="10"/>
        <color theme="1"/>
        <rFont val="Times New Roman"/>
        <family val="1"/>
        <charset val="204"/>
      </rPr>
      <t xml:space="preserve"> Создание условий для обеспечения жителей города Астрахани услугами бытового обслуживания</t>
    </r>
  </si>
  <si>
    <t>м</t>
  </si>
  <si>
    <r>
      <t xml:space="preserve">Показатель 2. </t>
    </r>
    <r>
      <rPr>
        <sz val="10"/>
        <rFont val="Times New Roman"/>
        <family val="1"/>
        <charset val="204"/>
      </rPr>
      <t>Протяженность отремонтированных сетей водоснабжения и водоотведения</t>
    </r>
  </si>
  <si>
    <r>
      <t xml:space="preserve">Показатель 1. </t>
    </r>
    <r>
      <rPr>
        <sz val="10"/>
        <rFont val="Times New Roman"/>
        <family val="1"/>
        <charset val="204"/>
      </rPr>
      <t>Количество разработанных проектов</t>
    </r>
  </si>
  <si>
    <r>
      <t xml:space="preserve">Основное мероприятие 1.5.3.  </t>
    </r>
    <r>
      <rPr>
        <sz val="10"/>
        <rFont val="Times New Roman"/>
        <family val="1"/>
        <charset val="204"/>
      </rPr>
      <t xml:space="preserve">Проведение работ по ремонту сетей водоснабжения и водоотведения </t>
    </r>
  </si>
  <si>
    <r>
      <t xml:space="preserve">Показатель 1. </t>
    </r>
    <r>
      <rPr>
        <sz val="10"/>
        <rFont val="Times New Roman"/>
        <family val="1"/>
        <charset val="204"/>
      </rPr>
      <t>Доля кредиторской задолженности, сниженная по сравнению с аналогичным периодом прошлого года</t>
    </r>
  </si>
  <si>
    <r>
      <t xml:space="preserve">Основное мероприятие 1.5.2.  </t>
    </r>
    <r>
      <rPr>
        <sz val="10"/>
        <rFont val="Times New Roman"/>
        <family val="1"/>
        <charset val="204"/>
      </rPr>
      <t>Оказание финансовой помощи в целях предупреждения банкротства муниципальных унитарных предприятий города Астрахани</t>
    </r>
  </si>
  <si>
    <r>
      <t xml:space="preserve">Основное мероприятие 1.5.1.  </t>
    </r>
    <r>
      <rPr>
        <sz val="10"/>
        <color theme="1"/>
        <rFont val="Times New Roman"/>
        <family val="1"/>
        <charset val="204"/>
      </rPr>
      <t>Погашение кредиторской задолженности за потребленный природный газ муниципальных теплоснабжающих предприятий муниципального образования  «Городской округ город Астрахань» перед юридическими лицами, осуществляющими поставки природного газа</t>
    </r>
  </si>
  <si>
    <r>
      <t xml:space="preserve">Показатель 2. </t>
    </r>
    <r>
      <rPr>
        <sz val="10"/>
        <rFont val="Times New Roman"/>
        <family val="1"/>
        <charset val="204"/>
      </rPr>
      <t>Обеспечение населения водоснабжением и водоотведением</t>
    </r>
  </si>
  <si>
    <r>
      <t xml:space="preserve">Показатель 1. </t>
    </r>
    <r>
      <rPr>
        <sz val="10"/>
        <rFont val="Times New Roman"/>
        <family val="1"/>
        <charset val="204"/>
      </rPr>
      <t>Обеспечение населения теплоэнергией</t>
    </r>
  </si>
  <si>
    <r>
      <t>Задача 1.5.</t>
    </r>
    <r>
      <rPr>
        <sz val="10"/>
        <color theme="1"/>
        <rFont val="Times New Roman"/>
        <family val="1"/>
        <charset val="204"/>
      </rPr>
      <t>Повышение уровня материальной обеспеченности и качества эксплуатации коммунальной инфраструктуры</t>
    </r>
  </si>
  <si>
    <r>
      <t>Показатель 1.</t>
    </r>
    <r>
      <rPr>
        <sz val="10"/>
        <rFont val="Times New Roman"/>
        <family val="1"/>
        <charset val="204"/>
      </rPr>
      <t xml:space="preserve">Уровень благоустроенных территорий общего пользования (парки, скверы, набережные и т.д.) и дворовых территорий, участвующих в Подпрограмме </t>
    </r>
  </si>
  <si>
    <r>
      <t xml:space="preserve">Задача 1.4. </t>
    </r>
    <r>
      <rPr>
        <sz val="10"/>
        <rFont val="Times New Roman"/>
        <family val="1"/>
        <charset val="204"/>
      </rPr>
      <t xml:space="preserve"> Повышение качества и комфорта городской среды на территории города Астрахани</t>
    </r>
  </si>
  <si>
    <r>
      <rPr>
        <b/>
        <sz val="10"/>
        <rFont val="Times New Roman"/>
        <family val="1"/>
        <charset val="204"/>
      </rPr>
      <t xml:space="preserve">Задача 1.3. </t>
    </r>
    <r>
      <rPr>
        <sz val="10"/>
        <rFont val="Times New Roman"/>
        <family val="1"/>
        <charset val="204"/>
      </rPr>
      <t>Поддержание благоприятных и комфортных условий для отдыха и досуга жителей города</t>
    </r>
  </si>
  <si>
    <r>
      <t xml:space="preserve">Показатель 1. </t>
    </r>
    <r>
      <rPr>
        <sz val="10"/>
        <rFont val="Times New Roman"/>
        <family val="1"/>
        <charset val="204"/>
      </rPr>
      <t>Количество приобретенной техники для муниципальных бюджетных учреждений</t>
    </r>
  </si>
  <si>
    <r>
      <t xml:space="preserve">Мероприятие 1. </t>
    </r>
    <r>
      <rPr>
        <sz val="10"/>
        <rFont val="Times New Roman"/>
        <family val="1"/>
        <charset val="204"/>
      </rPr>
      <t>Закупка специализированной техники для муниципальныхучреждений дорожного и коммунального хозяйства</t>
    </r>
    <r>
      <rPr>
        <b/>
        <sz val="10"/>
        <rFont val="Times New Roman"/>
        <family val="1"/>
        <charset val="204"/>
      </rPr>
      <t xml:space="preserve"> </t>
    </r>
  </si>
  <si>
    <t>14</t>
  </si>
  <si>
    <r>
      <t xml:space="preserve">Показатель 1. </t>
    </r>
    <r>
      <rPr>
        <sz val="10"/>
        <rFont val="Times New Roman"/>
        <family val="1"/>
        <charset val="204"/>
      </rPr>
      <t>Количество приобретенной специализированной техники</t>
    </r>
  </si>
  <si>
    <r>
      <t xml:space="preserve">Основное мероприятие 1.3.1. </t>
    </r>
    <r>
      <rPr>
        <sz val="10"/>
        <rFont val="Times New Roman"/>
        <family val="1"/>
        <charset val="204"/>
      </rPr>
      <t>Приобретение техники в лизинг</t>
    </r>
  </si>
  <si>
    <r>
      <t xml:space="preserve">Показатель 1. </t>
    </r>
    <r>
      <rPr>
        <sz val="10"/>
        <rFont val="Times New Roman"/>
        <family val="1"/>
        <charset val="204"/>
      </rPr>
      <t>Количество демонтированных самовольно установленных объектов с городских территорий</t>
    </r>
  </si>
  <si>
    <r>
      <t>Мероприятие 1.</t>
    </r>
    <r>
      <rPr>
        <sz val="10"/>
        <rFont val="Times New Roman"/>
        <family val="1"/>
        <charset val="204"/>
      </rPr>
      <t>Демонтаж самовольно установленных объектов движимого имущества, рекламных конструкций</t>
    </r>
  </si>
  <si>
    <r>
      <t xml:space="preserve">Показатель 1. </t>
    </r>
    <r>
      <rPr>
        <sz val="10"/>
        <rFont val="Times New Roman"/>
        <family val="1"/>
        <charset val="204"/>
      </rPr>
      <t xml:space="preserve"> Доля  городских территорий освобожденных от незаконно установленных строений</t>
    </r>
  </si>
  <si>
    <r>
      <t xml:space="preserve">Основное мероприятие 1.2.1. </t>
    </r>
    <r>
      <rPr>
        <sz val="10"/>
        <rFont val="Times New Roman"/>
        <family val="1"/>
        <charset val="204"/>
      </rPr>
      <t>Освобождение земельных участков от незаконно установленных строений</t>
    </r>
  </si>
  <si>
    <r>
      <t xml:space="preserve">Показатель 1. </t>
    </r>
    <r>
      <rPr>
        <sz val="10"/>
        <color theme="1"/>
        <rFont val="Times New Roman"/>
        <family val="1"/>
        <charset val="204"/>
      </rPr>
      <t>Доля благоустроенных  городских  территорий от общей площади освобожденных территорий</t>
    </r>
  </si>
  <si>
    <r>
      <t xml:space="preserve">Задача 1.2. </t>
    </r>
    <r>
      <rPr>
        <sz val="10"/>
        <rFont val="Times New Roman"/>
        <family val="1"/>
        <charset val="204"/>
      </rPr>
      <t>Благоустройство городских территорий освобожденных от незаконно установленных строений</t>
    </r>
  </si>
  <si>
    <t>чел.</t>
  </si>
  <si>
    <r>
      <t xml:space="preserve">Показатель 1.  </t>
    </r>
    <r>
      <rPr>
        <sz val="10"/>
        <color theme="1"/>
        <rFont val="Times New Roman"/>
        <family val="1"/>
        <charset val="204"/>
      </rPr>
      <t>Количество захороненных человек</t>
    </r>
  </si>
  <si>
    <r>
      <t>Мероприятие 3.</t>
    </r>
    <r>
      <rPr>
        <sz val="10"/>
        <color theme="1"/>
        <rFont val="Times New Roman"/>
        <family val="1"/>
        <charset val="204"/>
      </rPr>
      <t xml:space="preserve"> Возмещение затрат специализированным службам по вопросам похоронного дела, связанных с погребением отдельных категорий умерших</t>
    </r>
  </si>
  <si>
    <t>га</t>
  </si>
  <si>
    <r>
      <t xml:space="preserve">Показатель 1.  </t>
    </r>
    <r>
      <rPr>
        <sz val="10"/>
        <color theme="1"/>
        <rFont val="Times New Roman"/>
        <family val="1"/>
        <charset val="204"/>
      </rPr>
      <t xml:space="preserve">Увеличение площади мест захоронений на территории кладбища (Алевчиков бугор) </t>
    </r>
  </si>
  <si>
    <r>
      <t xml:space="preserve">Мероприятие 2. </t>
    </r>
    <r>
      <rPr>
        <sz val="10"/>
        <color theme="1"/>
        <rFont val="Times New Roman"/>
        <family val="1"/>
        <charset val="204"/>
      </rPr>
      <t>Строительство кладбища</t>
    </r>
  </si>
  <si>
    <r>
      <t xml:space="preserve">Показатель1. </t>
    </r>
    <r>
      <rPr>
        <sz val="10"/>
        <rFont val="Times New Roman"/>
        <family val="1"/>
        <charset val="204"/>
      </rPr>
      <t>Количество благоустроенных кладбищ</t>
    </r>
  </si>
  <si>
    <r>
      <rPr>
        <b/>
        <sz val="10"/>
        <rFont val="Times New Roman"/>
        <family val="1"/>
        <charset val="204"/>
      </rPr>
      <t xml:space="preserve">Мероприятие 1. </t>
    </r>
    <r>
      <rPr>
        <sz val="10"/>
        <rFont val="Times New Roman"/>
        <family val="1"/>
        <charset val="204"/>
      </rPr>
      <t>Содержание мест захоронений</t>
    </r>
  </si>
  <si>
    <r>
      <t xml:space="preserve">Показатель 1.     </t>
    </r>
    <r>
      <rPr>
        <sz val="10"/>
        <rFont val="Times New Roman"/>
        <family val="1"/>
        <charset val="204"/>
      </rPr>
      <t>Общая площадь обслуженных мест захоронений</t>
    </r>
  </si>
  <si>
    <r>
      <t xml:space="preserve">Основное мероприятие 1.1.1. </t>
    </r>
    <r>
      <rPr>
        <sz val="10"/>
        <rFont val="Times New Roman"/>
        <family val="1"/>
        <charset val="204"/>
      </rPr>
      <t>Организация и обеспечение надлежащей эксплуатации и содержание мест захоронений</t>
    </r>
  </si>
  <si>
    <r>
      <rPr>
        <b/>
        <sz val="10"/>
        <rFont val="Times New Roman"/>
        <family val="1"/>
        <charset val="204"/>
      </rPr>
      <t xml:space="preserve">Показатель 1. </t>
    </r>
    <r>
      <rPr>
        <sz val="10"/>
        <rFont val="Times New Roman"/>
        <family val="1"/>
        <charset val="204"/>
      </rPr>
      <t xml:space="preserve"> Доля благоустроенных мест захоронений от общего количества мест захоронений                   </t>
    </r>
  </si>
  <si>
    <r>
      <rPr>
        <b/>
        <sz val="10"/>
        <rFont val="Times New Roman"/>
        <family val="1"/>
        <charset val="204"/>
      </rPr>
      <t xml:space="preserve">Задача 1.1. </t>
    </r>
    <r>
      <rPr>
        <sz val="10"/>
        <rFont val="Times New Roman"/>
        <family val="1"/>
        <charset val="204"/>
      </rPr>
      <t>Содержание, строительство и благоустройство мест захоронений</t>
    </r>
  </si>
  <si>
    <r>
      <rPr>
        <b/>
        <sz val="10"/>
        <rFont val="Times New Roman"/>
        <family val="1"/>
        <charset val="204"/>
      </rPr>
      <t>Показатель 1.</t>
    </r>
    <r>
      <rPr>
        <sz val="10"/>
        <rFont val="Times New Roman"/>
        <family val="1"/>
        <charset val="204"/>
      </rPr>
      <t xml:space="preserve"> Доля благоустроенных территорий муниципального образования «Городской округ город Астрахань» от запланированных</t>
    </r>
  </si>
  <si>
    <t>Управление по коммунальному хозяйству и благоустройству администрации МО "Город Астрахань" (МБУ г. Астрахани "Чистый город, МБУ г. Астрахани "Зеленый город", МБУ г. Астрахани "Мосты и каналы"),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"Городской округ город Астрахань" (Управление торговли и поддержки предпринимательства муниципального образования "Городской округ город Астрахань", Управление по капитальному строительству администрации МО "Город Астрахань")</t>
  </si>
  <si>
    <r>
      <t xml:space="preserve">Цель 1. </t>
    </r>
    <r>
      <rPr>
        <sz val="10"/>
        <rFont val="Times New Roman"/>
        <family val="1"/>
        <charset val="204"/>
      </rPr>
      <t>Поддержание благоустроенности и санитарного состояния муниципального образования «Городской округ город Астрахань»</t>
    </r>
  </si>
  <si>
    <t>Муниципальная программа МО "Городской округ город Астрахань" "Повышение уровня благоустройства и улучшение  санитарного состояния города Астрахани"</t>
  </si>
  <si>
    <t>в том числе на 01.07.</t>
  </si>
  <si>
    <t>Всего</t>
  </si>
  <si>
    <t>в том числе на 01.07</t>
  </si>
  <si>
    <t>2027 год</t>
  </si>
  <si>
    <t>2026 год</t>
  </si>
  <si>
    <t>2025 год</t>
  </si>
  <si>
    <t xml:space="preserve">2019 год </t>
  </si>
  <si>
    <t>2018 год</t>
  </si>
  <si>
    <t xml:space="preserve">Целевое значение показателя   (конечный результат) за весь период реализации программы </t>
  </si>
  <si>
    <t>Планируемое значение показателя по годам реализации</t>
  </si>
  <si>
    <t>Текущий 2015 год</t>
  </si>
  <si>
    <t>Отчётный 2014 год</t>
  </si>
  <si>
    <t>Ед.  изм.</t>
  </si>
  <si>
    <t xml:space="preserve">Наименование показателя (индикатора) </t>
  </si>
  <si>
    <t xml:space="preserve">Цели, задачи, наименование программных мероприятий </t>
  </si>
  <si>
    <t>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муниципального образования городской округ город Астрахань"</t>
  </si>
  <si>
    <t xml:space="preserve"> программных мероприятий, показателей (индикаторов) и результатов </t>
  </si>
  <si>
    <t xml:space="preserve">Перечень </t>
  </si>
  <si>
    <t xml:space="preserve">Приложение 1 к муниципальной программе муниципального образования "Городской округ город Астрахань" "Повышение уровня благоустройства и улучшение санитарного состояния города Астрахани"                                                                                                                                             </t>
  </si>
  <si>
    <t>Управление по коммунальному хозяйству и благоустройству администрации МО "Городской округ город Астрахань", Управление дорожного хозяйства администрации муниципального образования "Городской округ Городской округ город Астрахань" Администрации Кировского района, Ленинского района, Советского района, Трусовского района,Управление дорожного хозяйства администрации МО "Городской округ Городской округ город Астрахань"  МБУ  г.Астрахани "Мосты и каналы"</t>
  </si>
  <si>
    <r>
      <rPr>
        <b/>
        <sz val="10"/>
        <color theme="1"/>
        <rFont val="Times New Roman"/>
        <family val="1"/>
        <charset val="204"/>
      </rPr>
      <t xml:space="preserve">Мероприятие 1.1.15 </t>
    </r>
    <r>
      <rPr>
        <sz val="10"/>
        <color theme="1"/>
        <rFont val="Times New Roman"/>
        <family val="1"/>
        <charset val="204"/>
      </rPr>
      <t>Реализация проектов по развитию общественной территории муниципального образования, в том числе мероприятий (результатов) по обустройству туристического центра города на территории муниципального образования в соответствии с туристическим кодом центра города</t>
    </r>
  </si>
  <si>
    <t>Управление по коммунальному хозяйству и благоустройству администрации МО "Городской округ город  Астрахань", МБУ г. Астрахани  "Мосты и каналы"</t>
  </si>
  <si>
    <r>
      <t>Мероприятие 1.1.15</t>
    </r>
    <r>
      <rPr>
        <sz val="12"/>
        <rFont val="Times New Roman"/>
        <family val="1"/>
        <charset val="204"/>
      </rPr>
      <t xml:space="preserve"> Реализация проектов по развитию общественной территории муниципального образования, в том числе мероприятий (результатов) по обустройству туристического центра города на территории муниципального образования в соответствии с туристическим кодом центра города</t>
    </r>
  </si>
  <si>
    <r>
      <t xml:space="preserve">Задача 1.2. </t>
    </r>
    <r>
      <rPr>
        <sz val="10"/>
        <rFont val="Times New Roman"/>
        <family val="1"/>
        <charset val="204"/>
      </rPr>
      <t xml:space="preserve"> Организация праздничного пространства на территории МО «Городской округ город Астрахань»</t>
    </r>
  </si>
  <si>
    <r>
      <t xml:space="preserve">Показатель1.  </t>
    </r>
    <r>
      <rPr>
        <sz val="10"/>
        <color theme="1"/>
        <rFont val="Times New Roman"/>
        <family val="1"/>
        <charset val="204"/>
      </rPr>
      <t>Количество праздничных пространств</t>
    </r>
  </si>
  <si>
    <t>Управление по коммунальному хозяйству и благоустройству администрации МО "Городской округ город Астрахань", Управление дорожного хозяйства и транспорта администрации МО "Городской округ город  Астрахань "МБУ г. Астрахани "Мосты и каналы"</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</si>
</sst>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 _₽_-;\-* #,##0.00\ _₽_-;_-* &quot;-&quot;??\ _₽_-;_-@_-"/>
    <numFmt numFmtId="165" formatCode="0.0"/>
  </numFmts>
  <fonts count="31" x14ac:knownFonts="1">
    <font>
      <sz val="11"/>
      <color theme="1"/>
      <name val="Calibri"/>
      <family val="2"/>
      <scheme val="minor"/>
    </font>
    <font>
      <sz val="11"/>
      <color theme="1"/>
      <name val="Calibri"/>
      <family val="2"/>
      <scheme val="minor"/>
    </font>
    <font>
      <sz val="13"/>
      <color theme="1"/>
      <name val="Times New Roman"/>
      <family val="1"/>
      <charset val="204"/>
    </font>
    <font>
      <sz val="13"/>
      <name val="Times New Roman"/>
      <family val="1"/>
      <charset val="204"/>
    </font>
    <font>
      <sz val="15"/>
      <name val="Times New Roman"/>
      <family val="1"/>
      <charset val="204"/>
    </font>
    <font>
      <b/>
      <sz val="16"/>
      <name val="Times New Roman"/>
      <family val="1"/>
      <charset val="204"/>
    </font>
    <font>
      <sz val="16"/>
      <color theme="1"/>
      <name val="Times New Roman"/>
      <family val="1"/>
      <charset val="204"/>
    </font>
    <font>
      <sz val="12"/>
      <name val="Times New Roman"/>
      <family val="1"/>
      <charset val="204"/>
    </font>
    <font>
      <sz val="12"/>
      <color theme="1"/>
      <name val="Times New Roman"/>
      <family val="1"/>
      <charset val="204"/>
    </font>
    <font>
      <b/>
      <sz val="12"/>
      <name val="Times New Roman"/>
      <family val="1"/>
      <charset val="204"/>
    </font>
    <font>
      <b/>
      <sz val="12"/>
      <color theme="1"/>
      <name val="Times New Roman"/>
      <family val="1"/>
      <charset val="204"/>
    </font>
    <font>
      <sz val="13"/>
      <color rgb="FFFF0000"/>
      <name val="Times New Roman"/>
      <family val="1"/>
      <charset val="204"/>
    </font>
    <font>
      <sz val="11"/>
      <color indexed="8"/>
      <name val="Calibri"/>
      <family val="2"/>
      <charset val="204"/>
    </font>
    <font>
      <sz val="12"/>
      <color indexed="8"/>
      <name val="Times New Roman"/>
      <family val="1"/>
      <charset val="204"/>
    </font>
    <font>
      <sz val="14"/>
      <name val="Times New Roman"/>
      <family val="1"/>
      <charset val="204"/>
    </font>
    <font>
      <sz val="14"/>
      <color theme="1"/>
      <name val="Times New Roman"/>
      <family val="1"/>
      <charset val="204"/>
    </font>
    <font>
      <sz val="11"/>
      <name val="Calibri"/>
      <family val="2"/>
      <scheme val="minor"/>
    </font>
    <font>
      <b/>
      <sz val="13"/>
      <color theme="1"/>
      <name val="Times New Roman"/>
      <family val="1"/>
      <charset val="204"/>
    </font>
    <font>
      <sz val="18"/>
      <color indexed="8"/>
      <name val="Times New Roman"/>
      <family val="1"/>
      <charset val="204"/>
    </font>
    <font>
      <sz val="13"/>
      <color indexed="8"/>
      <name val="Times New Roman"/>
      <family val="1"/>
      <charset val="204"/>
    </font>
    <font>
      <sz val="18"/>
      <color theme="1"/>
      <name val="Times New Roman"/>
      <family val="1"/>
      <charset val="204"/>
    </font>
    <font>
      <sz val="10"/>
      <name val="Times New Roman"/>
      <family val="1"/>
      <charset val="204"/>
    </font>
    <font>
      <sz val="10"/>
      <color indexed="8"/>
      <name val="Times New Roman"/>
      <family val="1"/>
      <charset val="204"/>
    </font>
    <font>
      <sz val="14"/>
      <color indexed="8"/>
      <name val="Times New Roman"/>
      <family val="1"/>
      <charset val="204"/>
    </font>
    <font>
      <b/>
      <sz val="10"/>
      <name val="Times New Roman"/>
      <family val="1"/>
      <charset val="204"/>
    </font>
    <font>
      <sz val="10"/>
      <color theme="1"/>
      <name val="Times New Roman"/>
      <family val="1"/>
      <charset val="204"/>
    </font>
    <font>
      <b/>
      <sz val="10"/>
      <color theme="1"/>
      <name val="Times New Roman"/>
      <family val="1"/>
      <charset val="204"/>
    </font>
    <font>
      <sz val="11"/>
      <color theme="1"/>
      <name val="Times New Roman"/>
      <family val="1"/>
      <charset val="204"/>
    </font>
    <font>
      <sz val="14"/>
      <color theme="1"/>
      <name val="Calibri"/>
      <family val="2"/>
      <scheme val="minor"/>
    </font>
    <font>
      <b/>
      <sz val="14"/>
      <name val="Times New Roman"/>
      <family val="1"/>
      <charset val="204"/>
    </font>
    <font>
      <sz val="11"/>
      <name val="Times New Roman"/>
      <family val="1"/>
      <charset val="204"/>
    </font>
  </fonts>
  <fills count="4">
    <fill>
      <patternFill patternType="none"/>
    </fill>
    <fill>
      <patternFill patternType="gray125"/>
    </fill>
    <fill>
      <patternFill patternType="solid">
        <fgColor rgb="FFFFFF00"/>
        <bgColor indexed="64"/>
      </patternFill>
    </fill>
    <fill>
      <patternFill patternType="solid">
        <fgColor rgb="FF00B0F0"/>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s>
  <cellStyleXfs count="3">
    <xf numFmtId="0" fontId="0" fillId="0" borderId="0"/>
    <xf numFmtId="164" fontId="1" fillId="0" borderId="0" applyFont="0" applyFill="0" applyBorder="0" applyAlignment="0" applyProtection="0"/>
    <xf numFmtId="0" fontId="12" fillId="0" borderId="0"/>
  </cellStyleXfs>
  <cellXfs count="267">
    <xf numFmtId="0" fontId="0" fillId="0" borderId="0" xfId="0"/>
    <xf numFmtId="0" fontId="2" fillId="0" borderId="0" xfId="0" applyFont="1" applyFill="1"/>
    <xf numFmtId="0" fontId="3" fillId="0" borderId="0" xfId="0" applyFont="1" applyFill="1" applyAlignment="1">
      <alignment wrapText="1"/>
    </xf>
    <xf numFmtId="0" fontId="3" fillId="0" borderId="0" xfId="0" applyFont="1" applyFill="1" applyAlignment="1">
      <alignment vertical="top" wrapText="1"/>
    </xf>
    <xf numFmtId="0" fontId="4" fillId="0" borderId="0" xfId="0" applyFont="1" applyFill="1" applyAlignment="1">
      <alignment vertical="center" wrapText="1"/>
    </xf>
    <xf numFmtId="4" fontId="2" fillId="0" borderId="0" xfId="0" applyNumberFormat="1" applyFont="1" applyFill="1"/>
    <xf numFmtId="0" fontId="3" fillId="0" borderId="0" xfId="0" applyFont="1" applyFill="1" applyAlignment="1">
      <alignment horizontal="left" wrapText="1"/>
    </xf>
    <xf numFmtId="0" fontId="6" fillId="0" borderId="0" xfId="0" applyFont="1" applyFill="1"/>
    <xf numFmtId="0" fontId="2" fillId="0" borderId="0" xfId="0" applyFont="1" applyFill="1" applyBorder="1"/>
    <xf numFmtId="0" fontId="7"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3" xfId="0" applyFont="1" applyFill="1" applyBorder="1" applyAlignment="1">
      <alignment horizontal="center"/>
    </xf>
    <xf numFmtId="4" fontId="8" fillId="0" borderId="3" xfId="0" applyNumberFormat="1" applyFont="1" applyFill="1" applyBorder="1" applyAlignment="1">
      <alignment horizontal="center" vertical="center" wrapText="1"/>
    </xf>
    <xf numFmtId="4" fontId="10" fillId="0" borderId="3" xfId="0" applyNumberFormat="1" applyFont="1" applyFill="1" applyBorder="1" applyAlignment="1">
      <alignment horizontal="center" vertical="center" wrapText="1"/>
    </xf>
    <xf numFmtId="4" fontId="8" fillId="0" borderId="3" xfId="0" applyNumberFormat="1" applyFont="1" applyFill="1" applyBorder="1" applyAlignment="1">
      <alignment horizontal="center" vertical="center"/>
    </xf>
    <xf numFmtId="4" fontId="10" fillId="0" borderId="3" xfId="0" applyNumberFormat="1" applyFont="1" applyFill="1" applyBorder="1" applyAlignment="1">
      <alignment horizontal="center" vertical="center"/>
    </xf>
    <xf numFmtId="4" fontId="10" fillId="0" borderId="6" xfId="0" applyNumberFormat="1" applyFont="1" applyFill="1" applyBorder="1" applyAlignment="1">
      <alignment horizontal="center" vertical="center"/>
    </xf>
    <xf numFmtId="4" fontId="8" fillId="0" borderId="3" xfId="1" applyNumberFormat="1" applyFont="1" applyFill="1" applyBorder="1" applyAlignment="1">
      <alignment horizontal="center" vertical="center" wrapText="1"/>
    </xf>
    <xf numFmtId="4" fontId="8" fillId="0" borderId="6" xfId="0" applyNumberFormat="1" applyFont="1" applyFill="1" applyBorder="1" applyAlignment="1">
      <alignment horizontal="center" vertical="center"/>
    </xf>
    <xf numFmtId="0" fontId="2" fillId="0" borderId="3" xfId="0" applyFont="1" applyFill="1" applyBorder="1"/>
    <xf numFmtId="2" fontId="8" fillId="0" borderId="3" xfId="0" applyNumberFormat="1" applyFont="1" applyFill="1" applyBorder="1" applyAlignment="1">
      <alignment horizontal="center" vertical="center"/>
    </xf>
    <xf numFmtId="4" fontId="8" fillId="0" borderId="3" xfId="0" applyNumberFormat="1" applyFont="1" applyFill="1" applyBorder="1"/>
    <xf numFmtId="4" fontId="8" fillId="0" borderId="6" xfId="0" applyNumberFormat="1" applyFont="1" applyFill="1" applyBorder="1"/>
    <xf numFmtId="4" fontId="7" fillId="0" borderId="3" xfId="0" applyNumberFormat="1" applyFont="1" applyFill="1" applyBorder="1" applyAlignment="1">
      <alignment horizontal="center" vertical="center" wrapText="1"/>
    </xf>
    <xf numFmtId="4" fontId="7" fillId="0" borderId="3" xfId="1" applyNumberFormat="1" applyFont="1" applyFill="1" applyBorder="1" applyAlignment="1">
      <alignment horizontal="center" vertical="center" wrapText="1"/>
    </xf>
    <xf numFmtId="4" fontId="7" fillId="0" borderId="6" xfId="0" applyNumberFormat="1" applyFont="1" applyFill="1" applyBorder="1" applyAlignment="1">
      <alignment horizontal="center" vertical="center" wrapText="1"/>
    </xf>
    <xf numFmtId="4" fontId="7" fillId="0" borderId="3" xfId="0" applyNumberFormat="1" applyFont="1" applyFill="1" applyBorder="1" applyAlignment="1">
      <alignment horizontal="center" vertical="center"/>
    </xf>
    <xf numFmtId="4" fontId="8" fillId="0" borderId="2" xfId="0" applyNumberFormat="1" applyFont="1" applyFill="1" applyBorder="1" applyAlignment="1">
      <alignment horizontal="center" vertical="center" wrapText="1"/>
    </xf>
    <xf numFmtId="4" fontId="7" fillId="0" borderId="2" xfId="1" applyNumberFormat="1" applyFont="1" applyFill="1" applyBorder="1" applyAlignment="1">
      <alignment horizontal="center" vertical="center" wrapText="1"/>
    </xf>
    <xf numFmtId="4" fontId="7" fillId="0" borderId="2" xfId="0" applyNumberFormat="1" applyFont="1" applyFill="1" applyBorder="1" applyAlignment="1">
      <alignment horizontal="center" vertical="center" wrapText="1"/>
    </xf>
    <xf numFmtId="4" fontId="7" fillId="0" borderId="2" xfId="0" applyNumberFormat="1" applyFont="1" applyFill="1" applyBorder="1" applyAlignment="1">
      <alignment horizontal="center" vertical="center"/>
    </xf>
    <xf numFmtId="4" fontId="8" fillId="0" borderId="2" xfId="0" applyNumberFormat="1" applyFont="1" applyFill="1" applyBorder="1" applyAlignment="1">
      <alignment horizontal="center" vertical="center"/>
    </xf>
    <xf numFmtId="4" fontId="8" fillId="0" borderId="9" xfId="0" applyNumberFormat="1" applyFont="1" applyFill="1" applyBorder="1" applyAlignment="1">
      <alignment horizontal="center" vertical="center"/>
    </xf>
    <xf numFmtId="0" fontId="2" fillId="0" borderId="2" xfId="0" applyFont="1" applyFill="1" applyBorder="1"/>
    <xf numFmtId="2" fontId="7" fillId="0" borderId="3"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vertical="center" wrapText="1"/>
    </xf>
    <xf numFmtId="4" fontId="2" fillId="0" borderId="3" xfId="0" applyNumberFormat="1" applyFont="1" applyFill="1" applyBorder="1" applyAlignment="1">
      <alignment horizontal="center" vertical="center"/>
    </xf>
    <xf numFmtId="0" fontId="7" fillId="0" borderId="3" xfId="0" applyFont="1" applyFill="1" applyBorder="1" applyAlignment="1">
      <alignment vertical="center" wrapText="1"/>
    </xf>
    <xf numFmtId="2" fontId="10" fillId="0" borderId="3" xfId="0" applyNumberFormat="1" applyFont="1" applyFill="1" applyBorder="1" applyAlignment="1">
      <alignment vertical="center" wrapText="1"/>
    </xf>
    <xf numFmtId="4" fontId="2" fillId="0" borderId="3" xfId="0" applyNumberFormat="1" applyFont="1" applyFill="1" applyBorder="1"/>
    <xf numFmtId="4" fontId="8" fillId="0" borderId="5" xfId="0" applyNumberFormat="1" applyFont="1" applyFill="1" applyBorder="1" applyAlignment="1">
      <alignment horizontal="center" vertical="center" wrapText="1"/>
    </xf>
    <xf numFmtId="4" fontId="8" fillId="0" borderId="5" xfId="0" applyNumberFormat="1" applyFont="1" applyFill="1" applyBorder="1" applyAlignment="1">
      <alignment horizontal="center" vertical="center"/>
    </xf>
    <xf numFmtId="4" fontId="2" fillId="0" borderId="5" xfId="0" applyNumberFormat="1" applyFont="1" applyFill="1" applyBorder="1" applyAlignment="1">
      <alignment horizontal="center" vertical="center"/>
    </xf>
    <xf numFmtId="4" fontId="2" fillId="0" borderId="6" xfId="0" applyNumberFormat="1" applyFont="1" applyFill="1" applyBorder="1"/>
    <xf numFmtId="4" fontId="2" fillId="0" borderId="6" xfId="0" applyNumberFormat="1" applyFont="1" applyFill="1" applyBorder="1" applyAlignment="1">
      <alignment horizontal="center" vertical="center"/>
    </xf>
    <xf numFmtId="4" fontId="8" fillId="0" borderId="6" xfId="0" applyNumberFormat="1" applyFont="1" applyFill="1" applyBorder="1" applyAlignment="1">
      <alignment horizontal="center" vertical="center" wrapText="1"/>
    </xf>
    <xf numFmtId="4" fontId="7" fillId="0" borderId="6" xfId="0" applyNumberFormat="1" applyFont="1" applyFill="1" applyBorder="1" applyAlignment="1">
      <alignment horizontal="center" vertical="center"/>
    </xf>
    <xf numFmtId="4" fontId="3" fillId="0" borderId="3" xfId="0" applyNumberFormat="1" applyFont="1" applyFill="1" applyBorder="1" applyAlignment="1">
      <alignment horizontal="center" vertical="center"/>
    </xf>
    <xf numFmtId="0" fontId="11" fillId="0" borderId="0" xfId="0" applyFont="1" applyFill="1"/>
    <xf numFmtId="0" fontId="11" fillId="0" borderId="0" xfId="0" applyFont="1" applyFill="1" applyBorder="1"/>
    <xf numFmtId="0" fontId="9" fillId="0" borderId="3" xfId="0" applyFont="1" applyFill="1" applyBorder="1" applyAlignment="1">
      <alignment horizontal="center" vertical="center" wrapText="1"/>
    </xf>
    <xf numFmtId="0" fontId="13" fillId="0" borderId="3" xfId="2" applyFont="1" applyFill="1" applyBorder="1" applyAlignment="1">
      <alignment horizontal="center" vertical="center" wrapText="1"/>
    </xf>
    <xf numFmtId="0" fontId="13" fillId="0" borderId="3" xfId="2" applyFont="1" applyFill="1" applyBorder="1" applyAlignment="1">
      <alignment horizontal="left" vertical="center" wrapText="1"/>
    </xf>
    <xf numFmtId="4" fontId="10" fillId="0" borderId="6"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15" fillId="0" borderId="0" xfId="0" applyFont="1" applyFill="1"/>
    <xf numFmtId="4" fontId="9" fillId="0" borderId="3" xfId="0" applyNumberFormat="1" applyFont="1" applyFill="1" applyBorder="1" applyAlignment="1">
      <alignment horizontal="center" vertical="center" wrapText="1"/>
    </xf>
    <xf numFmtId="4" fontId="9" fillId="0" borderId="6" xfId="0" applyNumberFormat="1" applyFont="1" applyFill="1" applyBorder="1" applyAlignment="1">
      <alignment horizontal="center" vertical="center" wrapText="1"/>
    </xf>
    <xf numFmtId="0" fontId="2" fillId="0" borderId="6" xfId="0" applyFont="1" applyFill="1" applyBorder="1"/>
    <xf numFmtId="0" fontId="17" fillId="0" borderId="0" xfId="0" applyFont="1" applyFill="1" applyBorder="1"/>
    <xf numFmtId="0" fontId="9" fillId="0" borderId="6" xfId="0" applyFont="1" applyFill="1" applyBorder="1" applyAlignment="1">
      <alignment horizontal="center" vertical="center" wrapText="1"/>
    </xf>
    <xf numFmtId="2" fontId="10" fillId="0" borderId="0" xfId="0" applyNumberFormat="1" applyFont="1" applyFill="1" applyBorder="1" applyAlignment="1">
      <alignment horizontal="center" vertical="center" wrapText="1"/>
    </xf>
    <xf numFmtId="4" fontId="8" fillId="0" borderId="10" xfId="0" applyNumberFormat="1" applyFont="1" applyFill="1" applyBorder="1" applyAlignment="1">
      <alignment horizontal="center" vertical="center"/>
    </xf>
    <xf numFmtId="0" fontId="17" fillId="0" borderId="0" xfId="0" applyFont="1" applyFill="1"/>
    <xf numFmtId="4" fontId="10" fillId="0" borderId="3" xfId="0" applyNumberFormat="1" applyFont="1" applyFill="1" applyBorder="1"/>
    <xf numFmtId="4" fontId="17" fillId="0" borderId="3" xfId="0" applyNumberFormat="1" applyFont="1" applyFill="1" applyBorder="1"/>
    <xf numFmtId="0" fontId="21" fillId="0" borderId="0" xfId="0" applyFont="1" applyFill="1" applyBorder="1" applyAlignment="1">
      <alignment horizontal="center" vertical="center" wrapText="1"/>
    </xf>
    <xf numFmtId="0" fontId="15" fillId="0" borderId="0" xfId="0" applyFont="1" applyFill="1" applyAlignment="1"/>
    <xf numFmtId="0" fontId="0" fillId="0" borderId="0" xfId="0" applyFill="1"/>
    <xf numFmtId="4" fontId="8" fillId="0" borderId="0" xfId="0" applyNumberFormat="1" applyFont="1" applyFill="1" applyAlignment="1">
      <alignment horizontal="left" vertical="center"/>
    </xf>
    <xf numFmtId="0" fontId="0" fillId="0" borderId="0" xfId="0" applyFont="1" applyFill="1"/>
    <xf numFmtId="0" fontId="0" fillId="0" borderId="0" xfId="0" applyFill="1" applyAlignment="1">
      <alignment horizontal="left" vertical="center"/>
    </xf>
    <xf numFmtId="0" fontId="0" fillId="0" borderId="0" xfId="0" applyFill="1" applyAlignment="1">
      <alignment horizontal="center" vertical="center"/>
    </xf>
    <xf numFmtId="0" fontId="22" fillId="0" borderId="0" xfId="2" applyFont="1" applyFill="1" applyAlignment="1">
      <alignment horizontal="left" vertical="center"/>
    </xf>
    <xf numFmtId="0" fontId="23" fillId="0" borderId="0" xfId="2" applyFont="1" applyFill="1" applyAlignment="1">
      <alignment horizontal="center" vertical="center"/>
    </xf>
    <xf numFmtId="0" fontId="22" fillId="0" borderId="0" xfId="2" applyFont="1" applyFill="1" applyAlignment="1">
      <alignment horizontal="center" vertical="center" wrapText="1"/>
    </xf>
    <xf numFmtId="0" fontId="0" fillId="0" borderId="0" xfId="0" applyFill="1" applyAlignment="1"/>
    <xf numFmtId="0" fontId="15" fillId="0" borderId="0" xfId="0" applyFont="1" applyFill="1" applyAlignment="1">
      <alignment horizontal="left"/>
    </xf>
    <xf numFmtId="0" fontId="7" fillId="0" borderId="0" xfId="0" applyFont="1" applyFill="1" applyBorder="1" applyAlignment="1">
      <alignment horizontal="center" wrapText="1"/>
    </xf>
    <xf numFmtId="0" fontId="7" fillId="0" borderId="0" xfId="0" applyFont="1" applyFill="1" applyBorder="1" applyAlignment="1">
      <alignment wrapText="1"/>
    </xf>
    <xf numFmtId="0" fontId="21" fillId="0" borderId="0" xfId="0" applyFont="1" applyFill="1" applyBorder="1" applyAlignment="1">
      <alignment horizontal="center" wrapText="1"/>
    </xf>
    <xf numFmtId="0" fontId="21" fillId="0" borderId="3" xfId="0" applyFont="1" applyFill="1" applyBorder="1" applyAlignment="1">
      <alignment horizontal="center" vertical="center" wrapText="1"/>
    </xf>
    <xf numFmtId="0" fontId="24" fillId="0" borderId="3" xfId="0" applyFont="1" applyFill="1" applyBorder="1" applyAlignment="1">
      <alignment horizontal="left" vertical="center" wrapText="1"/>
    </xf>
    <xf numFmtId="0" fontId="21" fillId="0" borderId="3" xfId="2" applyFont="1" applyFill="1" applyBorder="1" applyAlignment="1">
      <alignment horizontal="center" vertical="center"/>
    </xf>
    <xf numFmtId="0" fontId="21" fillId="0" borderId="3" xfId="2" applyFont="1" applyFill="1" applyBorder="1" applyAlignment="1">
      <alignment horizontal="center" vertical="center" wrapText="1"/>
    </xf>
    <xf numFmtId="0" fontId="21" fillId="0" borderId="3" xfId="0" applyFont="1" applyFill="1" applyBorder="1" applyAlignment="1">
      <alignment horizontal="center" vertical="center"/>
    </xf>
    <xf numFmtId="0" fontId="25" fillId="0" borderId="3" xfId="0" applyFont="1" applyFill="1" applyBorder="1" applyAlignment="1">
      <alignment horizontal="center" vertical="center"/>
    </xf>
    <xf numFmtId="0" fontId="26" fillId="0" borderId="3" xfId="0" applyFont="1" applyFill="1" applyBorder="1" applyAlignment="1">
      <alignment horizontal="left" vertical="center" wrapText="1"/>
    </xf>
    <xf numFmtId="0" fontId="22" fillId="0" borderId="3" xfId="2" applyFont="1" applyFill="1" applyBorder="1" applyAlignment="1">
      <alignment horizontal="center" vertical="center" wrapText="1"/>
    </xf>
    <xf numFmtId="0" fontId="16" fillId="0" borderId="0" xfId="0" applyFont="1" applyFill="1" applyAlignment="1">
      <alignment vertical="center"/>
    </xf>
    <xf numFmtId="3" fontId="21" fillId="0" borderId="3" xfId="0" applyNumberFormat="1" applyFont="1" applyFill="1" applyBorder="1" applyAlignment="1">
      <alignment horizontal="center" vertical="center" wrapText="1"/>
    </xf>
    <xf numFmtId="1" fontId="25" fillId="0" borderId="3" xfId="0" applyNumberFormat="1" applyFont="1" applyFill="1" applyBorder="1" applyAlignment="1">
      <alignment horizontal="center" vertical="center"/>
    </xf>
    <xf numFmtId="1" fontId="21" fillId="0" borderId="3" xfId="2" applyNumberFormat="1" applyFont="1" applyFill="1" applyBorder="1" applyAlignment="1">
      <alignment horizontal="center" vertical="center"/>
    </xf>
    <xf numFmtId="2" fontId="2" fillId="0" borderId="3" xfId="0" applyNumberFormat="1" applyFont="1" applyFill="1" applyBorder="1" applyAlignment="1">
      <alignment horizontal="center" vertical="center" wrapText="1"/>
    </xf>
    <xf numFmtId="2" fontId="27" fillId="0" borderId="3" xfId="0" applyNumberFormat="1" applyFont="1" applyFill="1" applyBorder="1" applyAlignment="1">
      <alignment horizontal="center" vertical="center" wrapText="1"/>
    </xf>
    <xf numFmtId="4" fontId="25" fillId="0" borderId="3" xfId="0" applyNumberFormat="1" applyFont="1" applyFill="1" applyBorder="1" applyAlignment="1">
      <alignment horizontal="center" vertical="center" wrapText="1"/>
    </xf>
    <xf numFmtId="1" fontId="26" fillId="0" borderId="3" xfId="0" applyNumberFormat="1" applyFont="1" applyFill="1" applyBorder="1" applyAlignment="1">
      <alignment horizontal="center" vertical="center"/>
    </xf>
    <xf numFmtId="4" fontId="26" fillId="0" borderId="3" xfId="0" applyNumberFormat="1" applyFont="1" applyFill="1" applyBorder="1" applyAlignment="1">
      <alignment horizontal="center" vertical="center" wrapText="1"/>
    </xf>
    <xf numFmtId="2" fontId="17" fillId="0" borderId="3" xfId="0" applyNumberFormat="1" applyFont="1" applyFill="1" applyBorder="1" applyAlignment="1">
      <alignment horizontal="center" vertical="center" wrapText="1"/>
    </xf>
    <xf numFmtId="2" fontId="25" fillId="0" borderId="3" xfId="0" applyNumberFormat="1" applyFont="1" applyFill="1" applyBorder="1" applyAlignment="1">
      <alignment horizontal="center" vertical="center" wrapText="1"/>
    </xf>
    <xf numFmtId="0" fontId="25" fillId="0" borderId="3" xfId="0" applyFont="1" applyFill="1" applyBorder="1" applyAlignment="1">
      <alignment horizontal="center" vertical="center" wrapText="1"/>
    </xf>
    <xf numFmtId="0" fontId="24" fillId="0" borderId="3" xfId="0" applyFont="1" applyFill="1" applyBorder="1" applyAlignment="1">
      <alignment horizontal="justify" vertical="center" wrapText="1"/>
    </xf>
    <xf numFmtId="3" fontId="21" fillId="0" borderId="3" xfId="2" applyNumberFormat="1" applyFont="1" applyFill="1" applyBorder="1" applyAlignment="1">
      <alignment horizontal="center" vertical="center"/>
    </xf>
    <xf numFmtId="3" fontId="21" fillId="0" borderId="3" xfId="0" applyNumberFormat="1" applyFont="1" applyFill="1" applyBorder="1" applyAlignment="1">
      <alignment horizontal="center" vertical="center"/>
    </xf>
    <xf numFmtId="0" fontId="25" fillId="0" borderId="3" xfId="0" applyFont="1" applyFill="1" applyBorder="1" applyAlignment="1">
      <alignment horizontal="left" vertical="center" wrapText="1"/>
    </xf>
    <xf numFmtId="0" fontId="22" fillId="0" borderId="2" xfId="2" applyFont="1" applyFill="1" applyBorder="1" applyAlignment="1">
      <alignment horizontal="center" vertical="center" wrapText="1"/>
    </xf>
    <xf numFmtId="0" fontId="24" fillId="0" borderId="10" xfId="0" applyFont="1" applyFill="1" applyBorder="1" applyAlignment="1">
      <alignment horizontal="center" vertical="center" wrapText="1"/>
    </xf>
    <xf numFmtId="0" fontId="21" fillId="0" borderId="10" xfId="0" applyFont="1" applyFill="1" applyBorder="1" applyAlignment="1">
      <alignment horizontal="center" vertical="center" wrapText="1"/>
    </xf>
    <xf numFmtId="4" fontId="21" fillId="0" borderId="3" xfId="0" applyNumberFormat="1" applyFont="1" applyFill="1" applyBorder="1" applyAlignment="1">
      <alignment horizontal="center" vertical="center"/>
    </xf>
    <xf numFmtId="1" fontId="21" fillId="0" borderId="3" xfId="0" applyNumberFormat="1" applyFont="1" applyFill="1" applyBorder="1" applyAlignment="1">
      <alignment horizontal="center" vertical="center" wrapText="1"/>
    </xf>
    <xf numFmtId="1" fontId="0" fillId="0" borderId="0" xfId="0" applyNumberFormat="1" applyFill="1"/>
    <xf numFmtId="0" fontId="0" fillId="0" borderId="0" xfId="0" applyFill="1" applyBorder="1"/>
    <xf numFmtId="4" fontId="21" fillId="0" borderId="2" xfId="0" applyNumberFormat="1" applyFont="1" applyFill="1" applyBorder="1" applyAlignment="1">
      <alignment horizontal="center" vertical="center" wrapText="1"/>
    </xf>
    <xf numFmtId="0" fontId="0" fillId="0" borderId="0" xfId="0" applyFill="1" applyBorder="1" applyAlignment="1">
      <alignment vertical="center"/>
    </xf>
    <xf numFmtId="0" fontId="25" fillId="0" borderId="3" xfId="0" applyFont="1" applyFill="1" applyBorder="1" applyAlignment="1">
      <alignment vertical="center" wrapText="1"/>
    </xf>
    <xf numFmtId="2" fontId="24" fillId="0" borderId="3" xfId="0" applyNumberFormat="1" applyFont="1" applyFill="1" applyBorder="1" applyAlignment="1">
      <alignment horizontal="left" vertical="center" wrapText="1"/>
    </xf>
    <xf numFmtId="2" fontId="26" fillId="0" borderId="3" xfId="0" applyNumberFormat="1" applyFont="1" applyFill="1" applyBorder="1" applyAlignment="1">
      <alignment horizontal="left" vertical="center" wrapText="1"/>
    </xf>
    <xf numFmtId="49" fontId="21" fillId="0" borderId="3" xfId="0" applyNumberFormat="1" applyFont="1" applyFill="1" applyBorder="1" applyAlignment="1">
      <alignment horizontal="center" vertical="center" wrapText="1"/>
    </xf>
    <xf numFmtId="165" fontId="21" fillId="0" borderId="3" xfId="0" applyNumberFormat="1" applyFont="1" applyFill="1" applyBorder="1" applyAlignment="1">
      <alignment horizontal="center" vertical="center" wrapText="1"/>
    </xf>
    <xf numFmtId="0" fontId="22" fillId="0" borderId="3" xfId="2" applyFont="1" applyFill="1" applyBorder="1" applyAlignment="1">
      <alignment horizontal="center" vertical="center"/>
    </xf>
    <xf numFmtId="1" fontId="22" fillId="0" borderId="3" xfId="2" applyNumberFormat="1" applyFont="1" applyFill="1" applyBorder="1" applyAlignment="1">
      <alignment horizontal="center" vertical="center"/>
    </xf>
    <xf numFmtId="1" fontId="25" fillId="0" borderId="3" xfId="2" applyNumberFormat="1" applyFont="1" applyFill="1" applyBorder="1" applyAlignment="1">
      <alignment horizontal="center" vertical="center"/>
    </xf>
    <xf numFmtId="0" fontId="25" fillId="0" borderId="3" xfId="2" applyFont="1" applyFill="1" applyBorder="1" applyAlignment="1">
      <alignment horizontal="center" vertical="center"/>
    </xf>
    <xf numFmtId="49" fontId="25" fillId="0" borderId="3" xfId="0" applyNumberFormat="1" applyFont="1" applyFill="1" applyBorder="1" applyAlignment="1">
      <alignment horizontal="center" vertical="center"/>
    </xf>
    <xf numFmtId="0" fontId="25" fillId="0" borderId="3" xfId="2" applyFont="1" applyFill="1" applyBorder="1" applyAlignment="1">
      <alignment horizontal="center" vertical="center" wrapText="1"/>
    </xf>
    <xf numFmtId="2" fontId="26" fillId="0" borderId="3" xfId="0" applyNumberFormat="1" applyFont="1" applyFill="1" applyBorder="1" applyAlignment="1">
      <alignment horizontal="center" vertical="center" wrapText="1"/>
    </xf>
    <xf numFmtId="2" fontId="21" fillId="0" borderId="3" xfId="0" applyNumberFormat="1" applyFont="1" applyFill="1" applyBorder="1" applyAlignment="1">
      <alignment horizontal="center" vertical="center" wrapText="1"/>
    </xf>
    <xf numFmtId="0" fontId="0" fillId="0" borderId="0" xfId="0" applyFill="1" applyBorder="1" applyAlignment="1">
      <alignment horizontal="center"/>
    </xf>
    <xf numFmtId="0" fontId="28" fillId="0" borderId="0" xfId="0" applyFont="1" applyFill="1"/>
    <xf numFmtId="0" fontId="30" fillId="0" borderId="0" xfId="0" applyFont="1" applyFill="1" applyAlignment="1">
      <alignment vertical="top" wrapText="1"/>
    </xf>
    <xf numFmtId="4" fontId="25" fillId="0" borderId="0" xfId="0" applyNumberFormat="1" applyFont="1" applyFill="1" applyAlignment="1">
      <alignment horizontal="left" vertical="center"/>
    </xf>
    <xf numFmtId="4" fontId="20" fillId="0" borderId="0" xfId="0" applyNumberFormat="1" applyFont="1" applyFill="1" applyAlignment="1">
      <alignment horizontal="left" vertical="center"/>
    </xf>
    <xf numFmtId="0" fontId="24"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25" fillId="0" borderId="5" xfId="0" applyFont="1" applyFill="1" applyBorder="1" applyAlignment="1">
      <alignment horizontal="center" vertical="center" wrapText="1"/>
    </xf>
    <xf numFmtId="0" fontId="16" fillId="2" borderId="0" xfId="0" applyFont="1" applyFill="1" applyAlignment="1">
      <alignment vertical="center"/>
    </xf>
    <xf numFmtId="0" fontId="0" fillId="3" borderId="0" xfId="0" applyFill="1" applyBorder="1"/>
    <xf numFmtId="0" fontId="7" fillId="0" borderId="3" xfId="0" applyFont="1" applyFill="1" applyBorder="1" applyAlignment="1">
      <alignment horizontal="center" vertical="center" wrapText="1"/>
    </xf>
    <xf numFmtId="2" fontId="10" fillId="0" borderId="3" xfId="0" applyNumberFormat="1" applyFont="1" applyFill="1" applyBorder="1" applyAlignment="1">
      <alignment horizontal="center" vertical="center" wrapText="1"/>
    </xf>
    <xf numFmtId="2" fontId="8" fillId="0" borderId="2" xfId="0" applyNumberFormat="1" applyFont="1" applyFill="1" applyBorder="1" applyAlignment="1">
      <alignment horizontal="center" vertical="center" wrapText="1"/>
    </xf>
    <xf numFmtId="2" fontId="8" fillId="0" borderId="5" xfId="0" applyNumberFormat="1" applyFont="1" applyFill="1" applyBorder="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Border="1" applyAlignment="1">
      <alignment horizontal="center" vertical="top" wrapText="1"/>
    </xf>
    <xf numFmtId="2" fontId="8" fillId="0" borderId="3" xfId="0" applyNumberFormat="1" applyFont="1" applyFill="1" applyBorder="1" applyAlignment="1">
      <alignment horizontal="center" vertical="center" wrapText="1"/>
    </xf>
    <xf numFmtId="2" fontId="9" fillId="0" borderId="3" xfId="0" applyNumberFormat="1" applyFont="1" applyFill="1" applyBorder="1" applyAlignment="1">
      <alignment horizontal="center" vertical="center" wrapText="1"/>
    </xf>
    <xf numFmtId="2" fontId="7" fillId="0" borderId="5" xfId="0" applyNumberFormat="1" applyFont="1" applyFill="1" applyBorder="1" applyAlignment="1">
      <alignment horizontal="center" vertical="center" wrapText="1"/>
    </xf>
    <xf numFmtId="0" fontId="20" fillId="0" borderId="0" xfId="0" applyFont="1" applyFill="1" applyAlignment="1">
      <alignment horizontal="left" vertical="center"/>
    </xf>
    <xf numFmtId="0" fontId="18" fillId="0" borderId="0" xfId="2" applyFont="1" applyFill="1" applyAlignment="1">
      <alignment horizontal="center" vertical="center" wrapText="1"/>
    </xf>
    <xf numFmtId="0" fontId="21" fillId="0" borderId="3" xfId="0" applyFont="1" applyFill="1" applyBorder="1" applyAlignment="1">
      <alignment horizontal="center" vertical="center" wrapText="1"/>
    </xf>
    <xf numFmtId="0" fontId="24" fillId="0" borderId="3" xfId="0" applyFont="1" applyFill="1" applyBorder="1" applyAlignment="1">
      <alignment horizontal="left" vertical="center" wrapText="1"/>
    </xf>
    <xf numFmtId="0" fontId="15" fillId="0" borderId="0" xfId="0" applyFont="1" applyFill="1" applyAlignment="1"/>
    <xf numFmtId="0" fontId="0" fillId="0" borderId="5" xfId="0" applyFill="1" applyBorder="1" applyAlignment="1">
      <alignment horizontal="center" vertical="center"/>
    </xf>
    <xf numFmtId="0" fontId="9" fillId="0" borderId="3" xfId="0" applyFont="1" applyFill="1" applyBorder="1" applyAlignment="1">
      <alignment horizontal="center" vertical="center" wrapText="1"/>
    </xf>
    <xf numFmtId="1" fontId="25" fillId="0" borderId="3" xfId="0" applyNumberFormat="1" applyFont="1" applyFill="1" applyBorder="1" applyAlignment="1">
      <alignment horizontal="center" vertical="center" wrapText="1"/>
    </xf>
    <xf numFmtId="0" fontId="21" fillId="0" borderId="3" xfId="0" applyFont="1" applyFill="1" applyBorder="1" applyAlignment="1">
      <alignment horizontal="center" vertical="center" wrapText="1"/>
    </xf>
    <xf numFmtId="0" fontId="24" fillId="0" borderId="3" xfId="0" applyFont="1" applyFill="1" applyBorder="1" applyAlignment="1">
      <alignment horizontal="left" vertical="center" wrapText="1"/>
    </xf>
    <xf numFmtId="0" fontId="22" fillId="0" borderId="2" xfId="2" applyFont="1" applyFill="1" applyBorder="1" applyAlignment="1">
      <alignment horizontal="center" vertical="center" wrapText="1"/>
    </xf>
    <xf numFmtId="0" fontId="21" fillId="0" borderId="3" xfId="0" applyNumberFormat="1" applyFont="1" applyFill="1" applyBorder="1" applyAlignment="1">
      <alignment horizontal="center" vertical="center" wrapText="1"/>
    </xf>
    <xf numFmtId="0" fontId="21" fillId="0" borderId="3" xfId="0" applyFont="1" applyFill="1" applyBorder="1" applyAlignment="1">
      <alignment horizontal="left" vertical="center" wrapText="1"/>
    </xf>
    <xf numFmtId="4" fontId="21" fillId="0" borderId="3" xfId="0"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7" fillId="0" borderId="3" xfId="0" applyFont="1" applyFill="1" applyBorder="1" applyAlignment="1">
      <alignment horizontal="center" vertical="center" wrapText="1"/>
    </xf>
    <xf numFmtId="2" fontId="10" fillId="0" borderId="3" xfId="0" applyNumberFormat="1" applyFont="1" applyFill="1" applyBorder="1" applyAlignment="1">
      <alignment horizontal="center" vertical="center" wrapText="1"/>
    </xf>
    <xf numFmtId="2" fontId="8" fillId="0" borderId="3"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2" fontId="8" fillId="0" borderId="2" xfId="0" applyNumberFormat="1" applyFont="1" applyFill="1" applyBorder="1" applyAlignment="1">
      <alignment horizontal="center" vertical="center" wrapText="1"/>
    </xf>
    <xf numFmtId="2" fontId="8" fillId="0" borderId="5" xfId="0" applyNumberFormat="1" applyFont="1" applyFill="1" applyBorder="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5" fillId="0" borderId="1" xfId="0" applyFont="1" applyFill="1" applyBorder="1" applyAlignment="1">
      <alignment horizontal="center" vertical="top" wrapText="1"/>
    </xf>
    <xf numFmtId="0" fontId="5" fillId="0" borderId="0" xfId="0" applyFont="1" applyFill="1" applyBorder="1" applyAlignment="1">
      <alignment horizontal="center" vertical="top" wrapText="1"/>
    </xf>
    <xf numFmtId="0" fontId="7" fillId="0" borderId="4" xfId="0" applyFont="1" applyFill="1" applyBorder="1" applyAlignment="1">
      <alignment horizontal="center" vertical="center"/>
    </xf>
    <xf numFmtId="0" fontId="7" fillId="0" borderId="1" xfId="0" applyFont="1" applyFill="1" applyBorder="1" applyAlignment="1">
      <alignment horizontal="center" vertical="center"/>
    </xf>
    <xf numFmtId="0" fontId="0" fillId="0" borderId="1" xfId="0" applyFill="1" applyBorder="1" applyAlignment="1"/>
    <xf numFmtId="2" fontId="10" fillId="0" borderId="6" xfId="0" applyNumberFormat="1" applyFont="1" applyFill="1" applyBorder="1" applyAlignment="1">
      <alignment horizontal="center" vertical="center" wrapText="1"/>
    </xf>
    <xf numFmtId="2" fontId="10" fillId="0" borderId="7" xfId="0" applyNumberFormat="1" applyFont="1" applyFill="1" applyBorder="1" applyAlignment="1">
      <alignment horizontal="center" vertical="center" wrapText="1"/>
    </xf>
    <xf numFmtId="2" fontId="10" fillId="0" borderId="8" xfId="0" applyNumberFormat="1" applyFont="1" applyFill="1" applyBorder="1" applyAlignment="1">
      <alignment horizontal="center" vertical="center" wrapText="1"/>
    </xf>
    <xf numFmtId="2" fontId="9" fillId="0" borderId="3" xfId="0" applyNumberFormat="1" applyFont="1" applyFill="1" applyBorder="1" applyAlignment="1">
      <alignment horizontal="center" vertical="center" wrapText="1"/>
    </xf>
    <xf numFmtId="0" fontId="7" fillId="0" borderId="10" xfId="0" applyFont="1" applyFill="1" applyBorder="1" applyAlignment="1">
      <alignment horizontal="center" vertical="center" wrapText="1"/>
    </xf>
    <xf numFmtId="2" fontId="8" fillId="0" borderId="10" xfId="0" applyNumberFormat="1" applyFont="1" applyFill="1" applyBorder="1" applyAlignment="1">
      <alignment horizontal="center" vertical="center" wrapText="1"/>
    </xf>
    <xf numFmtId="2" fontId="7" fillId="0" borderId="2" xfId="0" applyNumberFormat="1" applyFont="1" applyFill="1" applyBorder="1" applyAlignment="1">
      <alignment horizontal="center" vertical="center" wrapText="1"/>
    </xf>
    <xf numFmtId="2" fontId="7" fillId="0" borderId="10" xfId="0" applyNumberFormat="1" applyFont="1" applyFill="1" applyBorder="1" applyAlignment="1">
      <alignment horizontal="center" vertical="center" wrapText="1"/>
    </xf>
    <xf numFmtId="2" fontId="7" fillId="0" borderId="5" xfId="0"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7" fillId="0" borderId="2" xfId="2" applyFont="1" applyFill="1" applyBorder="1" applyAlignment="1">
      <alignment horizontal="center" vertical="center" wrapText="1"/>
    </xf>
    <xf numFmtId="0" fontId="16" fillId="0" borderId="5"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5" xfId="0" applyFont="1" applyFill="1" applyBorder="1" applyAlignment="1">
      <alignment horizontal="center" vertical="center"/>
    </xf>
    <xf numFmtId="2" fontId="8" fillId="0" borderId="6" xfId="0" applyNumberFormat="1" applyFont="1" applyFill="1" applyBorder="1" applyAlignment="1">
      <alignment horizontal="center" vertical="center" wrapText="1"/>
    </xf>
    <xf numFmtId="2" fontId="8" fillId="0" borderId="7" xfId="0" applyNumberFormat="1" applyFont="1" applyFill="1" applyBorder="1" applyAlignment="1">
      <alignment horizontal="center" vertical="center" wrapText="1"/>
    </xf>
    <xf numFmtId="2" fontId="8" fillId="0" borderId="8" xfId="0" applyNumberFormat="1" applyFont="1" applyFill="1" applyBorder="1" applyAlignment="1">
      <alignment horizontal="center" vertical="center" wrapText="1"/>
    </xf>
    <xf numFmtId="2" fontId="10" fillId="0" borderId="2" xfId="0" applyNumberFormat="1" applyFont="1" applyFill="1" applyBorder="1" applyAlignment="1">
      <alignment horizontal="center" vertical="center" wrapText="1"/>
    </xf>
    <xf numFmtId="2" fontId="10" fillId="0" borderId="5" xfId="0" applyNumberFormat="1" applyFont="1" applyFill="1" applyBorder="1" applyAlignment="1">
      <alignment horizontal="center" vertical="center" wrapText="1"/>
    </xf>
    <xf numFmtId="0" fontId="20" fillId="0" borderId="0" xfId="0" applyFont="1" applyFill="1" applyAlignment="1">
      <alignment horizontal="left" vertical="center"/>
    </xf>
    <xf numFmtId="0" fontId="3" fillId="0" borderId="0" xfId="0" applyFont="1" applyFill="1" applyBorder="1" applyAlignment="1">
      <alignment vertical="top" wrapText="1"/>
    </xf>
    <xf numFmtId="0" fontId="2" fillId="0" borderId="0" xfId="0" applyFont="1" applyFill="1" applyAlignment="1">
      <alignment horizontal="center" vertical="center"/>
    </xf>
    <xf numFmtId="0" fontId="3" fillId="0" borderId="0" xfId="0" applyFont="1" applyFill="1" applyBorder="1" applyAlignment="1">
      <alignment horizontal="center" vertical="center" wrapText="1"/>
    </xf>
    <xf numFmtId="4" fontId="3" fillId="0" borderId="0" xfId="0" applyNumberFormat="1" applyFont="1" applyFill="1" applyBorder="1" applyAlignment="1">
      <alignment horizontal="center" vertical="center" wrapText="1"/>
    </xf>
    <xf numFmtId="0" fontId="18" fillId="0" borderId="0" xfId="2" applyFont="1" applyFill="1" applyAlignment="1">
      <alignment horizontal="center" vertical="center" wrapText="1"/>
    </xf>
    <xf numFmtId="0" fontId="19" fillId="0" borderId="0" xfId="2" applyFont="1" applyFill="1" applyAlignment="1">
      <alignment horizontal="center"/>
    </xf>
    <xf numFmtId="0" fontId="21" fillId="0" borderId="0" xfId="0" applyFont="1" applyFill="1" applyBorder="1" applyAlignment="1">
      <alignment horizontal="left" vertical="center" wrapText="1"/>
    </xf>
    <xf numFmtId="0" fontId="21" fillId="0" borderId="3" xfId="0" applyFont="1" applyFill="1" applyBorder="1" applyAlignment="1">
      <alignment horizontal="center" vertical="center" wrapText="1"/>
    </xf>
    <xf numFmtId="0" fontId="24" fillId="0" borderId="3" xfId="0" applyFont="1" applyFill="1" applyBorder="1" applyAlignment="1">
      <alignment horizontal="left" vertical="center" wrapText="1"/>
    </xf>
    <xf numFmtId="0" fontId="15" fillId="0" borderId="11" xfId="0" applyFont="1" applyFill="1" applyBorder="1" applyAlignment="1">
      <alignment horizontal="center"/>
    </xf>
    <xf numFmtId="0" fontId="15" fillId="0" borderId="0" xfId="0" applyFont="1" applyFill="1" applyAlignment="1"/>
    <xf numFmtId="0" fontId="21" fillId="0" borderId="2" xfId="0" applyFont="1" applyFill="1" applyBorder="1" applyAlignment="1">
      <alignment horizontal="center" vertical="center"/>
    </xf>
    <xf numFmtId="0" fontId="21" fillId="0" borderId="10" xfId="0" applyFont="1" applyFill="1" applyBorder="1" applyAlignment="1">
      <alignment horizontal="center" vertical="center"/>
    </xf>
    <xf numFmtId="0" fontId="0" fillId="0" borderId="5" xfId="0" applyFill="1" applyBorder="1" applyAlignment="1">
      <alignment horizontal="center" vertical="center"/>
    </xf>
    <xf numFmtId="0" fontId="24" fillId="0" borderId="2" xfId="0" applyFont="1" applyFill="1" applyBorder="1" applyAlignment="1">
      <alignment horizontal="center" vertical="center" wrapText="1"/>
    </xf>
    <xf numFmtId="0" fontId="24" fillId="0" borderId="10" xfId="0" applyFont="1" applyFill="1" applyBorder="1" applyAlignment="1">
      <alignment horizontal="center" vertical="center" wrapText="1"/>
    </xf>
    <xf numFmtId="0" fontId="0" fillId="0" borderId="5" xfId="0" applyFill="1" applyBorder="1" applyAlignment="1">
      <alignment horizontal="center" vertical="center" wrapText="1"/>
    </xf>
    <xf numFmtId="2" fontId="25" fillId="0" borderId="3" xfId="0" applyNumberFormat="1" applyFont="1" applyFill="1" applyBorder="1" applyAlignment="1">
      <alignment horizontal="left" vertical="center" wrapText="1"/>
    </xf>
    <xf numFmtId="2" fontId="25" fillId="0" borderId="2" xfId="0" applyNumberFormat="1" applyFont="1" applyFill="1" applyBorder="1" applyAlignment="1">
      <alignment horizontal="left" vertical="center" wrapText="1"/>
    </xf>
    <xf numFmtId="0" fontId="0" fillId="0" borderId="10" xfId="0" applyFill="1" applyBorder="1" applyAlignment="1">
      <alignment horizontal="left" vertical="center" wrapText="1"/>
    </xf>
    <xf numFmtId="0" fontId="0" fillId="0" borderId="5" xfId="0" applyFill="1" applyBorder="1" applyAlignment="1">
      <alignment horizontal="left" vertical="center" wrapText="1"/>
    </xf>
    <xf numFmtId="0" fontId="9" fillId="0" borderId="3"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2" fillId="0" borderId="2" xfId="2" applyFont="1" applyFill="1" applyBorder="1" applyAlignment="1">
      <alignment horizontal="center" vertical="center" wrapText="1"/>
    </xf>
    <xf numFmtId="0" fontId="22" fillId="0" borderId="5" xfId="2" applyFont="1" applyFill="1" applyBorder="1" applyAlignment="1">
      <alignment horizontal="center" vertical="center" wrapText="1"/>
    </xf>
    <xf numFmtId="0" fontId="26" fillId="0" borderId="2" xfId="0" applyFont="1" applyFill="1" applyBorder="1" applyAlignment="1">
      <alignment horizontal="left" vertical="center" wrapText="1"/>
    </xf>
    <xf numFmtId="0" fontId="26" fillId="0" borderId="10" xfId="0" applyFont="1" applyFill="1" applyBorder="1" applyAlignment="1">
      <alignment horizontal="left" vertical="center" wrapText="1"/>
    </xf>
    <xf numFmtId="0" fontId="26" fillId="0" borderId="5" xfId="0" applyFont="1" applyFill="1" applyBorder="1" applyAlignment="1">
      <alignment horizontal="left" vertical="center" wrapText="1"/>
    </xf>
    <xf numFmtId="0" fontId="25" fillId="0" borderId="6" xfId="0" applyFont="1" applyFill="1" applyBorder="1" applyAlignment="1">
      <alignment horizontal="center" vertical="center"/>
    </xf>
    <xf numFmtId="0" fontId="25" fillId="0" borderId="7" xfId="0" applyFont="1" applyFill="1" applyBorder="1" applyAlignment="1">
      <alignment horizontal="center" vertical="center"/>
    </xf>
    <xf numFmtId="0" fontId="25" fillId="0" borderId="8" xfId="0" applyFont="1" applyFill="1" applyBorder="1" applyAlignment="1">
      <alignment horizontal="center" vertical="center"/>
    </xf>
    <xf numFmtId="0" fontId="25" fillId="0" borderId="2" xfId="0" applyFont="1" applyFill="1" applyBorder="1" applyAlignment="1">
      <alignment horizontal="center" vertical="center"/>
    </xf>
    <xf numFmtId="0" fontId="25" fillId="0" borderId="5" xfId="0" applyFont="1" applyFill="1" applyBorder="1" applyAlignment="1">
      <alignment horizontal="center" vertical="center"/>
    </xf>
    <xf numFmtId="0" fontId="26" fillId="0" borderId="2"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5" xfId="0" applyFont="1" applyFill="1" applyBorder="1" applyAlignment="1">
      <alignment horizontal="center" vertical="center" wrapText="1"/>
    </xf>
    <xf numFmtId="0" fontId="25" fillId="0" borderId="10" xfId="0" applyFont="1" applyFill="1" applyBorder="1" applyAlignment="1">
      <alignment horizontal="center" vertical="center"/>
    </xf>
    <xf numFmtId="0" fontId="21" fillId="0" borderId="6" xfId="0" applyFont="1" applyFill="1" applyBorder="1" applyAlignment="1">
      <alignment horizontal="center" vertical="center" wrapText="1"/>
    </xf>
    <xf numFmtId="0" fontId="21" fillId="0" borderId="5" xfId="0" applyFont="1" applyFill="1" applyBorder="1" applyAlignment="1">
      <alignment horizontal="center" vertical="center" wrapText="1"/>
    </xf>
    <xf numFmtId="0" fontId="21" fillId="0" borderId="3" xfId="0" applyNumberFormat="1" applyFont="1" applyFill="1" applyBorder="1" applyAlignment="1">
      <alignment horizontal="center" vertical="center" wrapText="1"/>
    </xf>
    <xf numFmtId="0" fontId="21" fillId="0" borderId="2" xfId="0" applyFont="1" applyFill="1" applyBorder="1" applyAlignment="1">
      <alignment horizontal="left" vertical="center" wrapText="1"/>
    </xf>
    <xf numFmtId="0" fontId="21" fillId="0" borderId="10" xfId="0" applyFont="1" applyFill="1" applyBorder="1" applyAlignment="1">
      <alignment horizontal="left" vertical="center" wrapText="1"/>
    </xf>
    <xf numFmtId="0" fontId="21" fillId="0" borderId="5" xfId="0" applyFont="1" applyFill="1" applyBorder="1" applyAlignment="1">
      <alignment horizontal="left" vertical="center" wrapText="1"/>
    </xf>
    <xf numFmtId="0" fontId="21" fillId="0" borderId="3" xfId="0" applyFont="1" applyFill="1" applyBorder="1" applyAlignment="1">
      <alignment horizontal="left" vertical="center" wrapText="1"/>
    </xf>
    <xf numFmtId="4" fontId="21" fillId="0" borderId="3" xfId="0" applyNumberFormat="1" applyFont="1" applyFill="1" applyBorder="1" applyAlignment="1">
      <alignment horizontal="center" vertical="center" wrapText="1"/>
    </xf>
    <xf numFmtId="2" fontId="26" fillId="0" borderId="2" xfId="0" applyNumberFormat="1" applyFont="1" applyFill="1" applyBorder="1" applyAlignment="1">
      <alignment horizontal="center" vertical="center" wrapText="1"/>
    </xf>
    <xf numFmtId="2" fontId="26" fillId="0" borderId="5" xfId="0" applyNumberFormat="1" applyFont="1" applyFill="1" applyBorder="1" applyAlignment="1">
      <alignment horizontal="center" vertical="center" wrapText="1"/>
    </xf>
    <xf numFmtId="2" fontId="25" fillId="0" borderId="2" xfId="0" applyNumberFormat="1" applyFont="1" applyFill="1" applyBorder="1" applyAlignment="1">
      <alignment horizontal="center" vertical="center" wrapText="1"/>
    </xf>
    <xf numFmtId="2" fontId="25" fillId="0" borderId="5" xfId="0" applyNumberFormat="1" applyFont="1" applyFill="1" applyBorder="1" applyAlignment="1">
      <alignment horizontal="center" vertical="center" wrapText="1"/>
    </xf>
    <xf numFmtId="2" fontId="24" fillId="0" borderId="2" xfId="0" applyNumberFormat="1" applyFont="1" applyFill="1" applyBorder="1" applyAlignment="1">
      <alignment horizontal="left" vertical="center" wrapText="1"/>
    </xf>
    <xf numFmtId="0" fontId="21" fillId="0" borderId="9" xfId="0" applyFont="1" applyFill="1" applyBorder="1" applyAlignment="1">
      <alignment horizontal="center" vertical="center"/>
    </xf>
    <xf numFmtId="0" fontId="0" fillId="0" borderId="11" xfId="0" applyFill="1" applyBorder="1" applyAlignment="1"/>
    <xf numFmtId="0" fontId="0" fillId="0" borderId="13" xfId="0" applyFill="1" applyBorder="1" applyAlignment="1"/>
    <xf numFmtId="0" fontId="0" fillId="0" borderId="4" xfId="0" applyFill="1" applyBorder="1" applyAlignment="1"/>
    <xf numFmtId="0" fontId="0" fillId="0" borderId="12" xfId="0" applyFill="1" applyBorder="1" applyAlignment="1"/>
    <xf numFmtId="0" fontId="14" fillId="0" borderId="0" xfId="0" applyFont="1" applyFill="1" applyAlignment="1">
      <alignment horizontal="left" vertical="top" wrapText="1" indent="29"/>
    </xf>
    <xf numFmtId="0" fontId="29" fillId="0" borderId="0" xfId="0" applyFont="1" applyFill="1" applyAlignment="1">
      <alignment horizontal="center" vertical="center" wrapText="1"/>
    </xf>
    <xf numFmtId="0" fontId="9" fillId="0" borderId="0" xfId="0" applyFont="1" applyFill="1" applyAlignment="1">
      <alignment horizontal="center" vertical="center" wrapText="1"/>
    </xf>
  </cellXfs>
  <cellStyles count="3">
    <cellStyle name="Excel Built-in Normal" xfId="2"/>
    <cellStyle name="Обычный" xfId="0" builtinId="0"/>
    <cellStyle name="Финансовый" xfId="1"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AH209"/>
  <sheetViews>
    <sheetView view="pageBreakPreview" topLeftCell="A6" zoomScale="89" zoomScaleNormal="80" zoomScaleSheetLayoutView="89" zoomScalePageLayoutView="40" workbookViewId="0">
      <pane xSplit="5" ySplit="3" topLeftCell="F9" activePane="bottomRight" state="frozen"/>
      <selection activeCell="A6" sqref="A6"/>
      <selection pane="topRight" activeCell="F6" sqref="F6"/>
      <selection pane="bottomLeft" activeCell="A9" sqref="A9"/>
      <selection pane="bottomRight" activeCell="H15" sqref="H15"/>
    </sheetView>
  </sheetViews>
  <sheetFormatPr defaultColWidth="11.5703125" defaultRowHeight="16.5" x14ac:dyDescent="0.25"/>
  <cols>
    <col min="1" max="1" width="5.5703125" style="1" customWidth="1"/>
    <col min="2" max="2" width="35.5703125" style="1" customWidth="1"/>
    <col min="3" max="3" width="49.85546875" style="1" customWidth="1"/>
    <col min="4" max="4" width="27.140625" style="1" customWidth="1"/>
    <col min="5" max="5" width="9.7109375" style="1" customWidth="1"/>
    <col min="6" max="6" width="9.140625" style="1" customWidth="1"/>
    <col min="7" max="7" width="9" style="1" customWidth="1"/>
    <col min="8" max="8" width="9.7109375" style="1" customWidth="1"/>
    <col min="9" max="9" width="17.7109375" style="1" customWidth="1"/>
    <col min="10" max="11" width="15.85546875" style="1" customWidth="1"/>
    <col min="12" max="12" width="19.5703125" style="1" customWidth="1"/>
    <col min="13" max="13" width="17.7109375" style="1" customWidth="1"/>
    <col min="14" max="17" width="15.85546875" style="1" customWidth="1"/>
    <col min="18" max="18" width="16.28515625" style="1" bestFit="1" customWidth="1"/>
    <col min="19" max="19" width="17.28515625" style="1" bestFit="1" customWidth="1"/>
    <col min="20" max="21" width="17.28515625" style="1" customWidth="1"/>
    <col min="22" max="22" width="19.42578125" style="1" customWidth="1"/>
    <col min="23" max="23" width="17.28515625" style="1" bestFit="1" customWidth="1"/>
    <col min="24" max="24" width="21.7109375" style="1" customWidth="1"/>
    <col min="25" max="27" width="11.5703125" style="1" customWidth="1"/>
    <col min="28" max="28" width="17.28515625" style="1" bestFit="1" customWidth="1"/>
    <col min="29" max="29" width="16" style="1" bestFit="1" customWidth="1"/>
    <col min="30" max="232" width="11.5703125" style="1"/>
    <col min="233" max="233" width="4.5703125" style="1" customWidth="1"/>
    <col min="234" max="234" width="29.140625" style="1" customWidth="1"/>
    <col min="235" max="235" width="14.140625" style="1" customWidth="1"/>
    <col min="236" max="236" width="11.5703125" style="1"/>
    <col min="237" max="237" width="10" style="1" customWidth="1"/>
    <col min="238" max="238" width="19.85546875" style="1" customWidth="1"/>
    <col min="239" max="239" width="12.28515625" style="1" customWidth="1"/>
    <col min="240" max="240" width="10" style="1" customWidth="1"/>
    <col min="241" max="241" width="10.140625" style="1" customWidth="1"/>
    <col min="242" max="242" width="10.28515625" style="1" customWidth="1"/>
    <col min="243" max="243" width="10.42578125" style="1" customWidth="1"/>
    <col min="244" max="245" width="10.85546875" style="1" customWidth="1"/>
    <col min="246" max="246" width="9.7109375" style="1" customWidth="1"/>
    <col min="247" max="247" width="12.85546875" style="1" customWidth="1"/>
    <col min="248" max="488" width="11.5703125" style="1"/>
    <col min="489" max="489" width="4.5703125" style="1" customWidth="1"/>
    <col min="490" max="490" width="29.140625" style="1" customWidth="1"/>
    <col min="491" max="491" width="14.140625" style="1" customWidth="1"/>
    <col min="492" max="492" width="11.5703125" style="1"/>
    <col min="493" max="493" width="10" style="1" customWidth="1"/>
    <col min="494" max="494" width="19.85546875" style="1" customWidth="1"/>
    <col min="495" max="495" width="12.28515625" style="1" customWidth="1"/>
    <col min="496" max="496" width="10" style="1" customWidth="1"/>
    <col min="497" max="497" width="10.140625" style="1" customWidth="1"/>
    <col min="498" max="498" width="10.28515625" style="1" customWidth="1"/>
    <col min="499" max="499" width="10.42578125" style="1" customWidth="1"/>
    <col min="500" max="501" width="10.85546875" style="1" customWidth="1"/>
    <col min="502" max="502" width="9.7109375" style="1" customWidth="1"/>
    <col min="503" max="503" width="12.85546875" style="1" customWidth="1"/>
    <col min="504" max="744" width="11.5703125" style="1"/>
    <col min="745" max="745" width="4.5703125" style="1" customWidth="1"/>
    <col min="746" max="746" width="29.140625" style="1" customWidth="1"/>
    <col min="747" max="747" width="14.140625" style="1" customWidth="1"/>
    <col min="748" max="748" width="11.5703125" style="1"/>
    <col min="749" max="749" width="10" style="1" customWidth="1"/>
    <col min="750" max="750" width="19.85546875" style="1" customWidth="1"/>
    <col min="751" max="751" width="12.28515625" style="1" customWidth="1"/>
    <col min="752" max="752" width="10" style="1" customWidth="1"/>
    <col min="753" max="753" width="10.140625" style="1" customWidth="1"/>
    <col min="754" max="754" width="10.28515625" style="1" customWidth="1"/>
    <col min="755" max="755" width="10.42578125" style="1" customWidth="1"/>
    <col min="756" max="757" width="10.85546875" style="1" customWidth="1"/>
    <col min="758" max="758" width="9.7109375" style="1" customWidth="1"/>
    <col min="759" max="759" width="12.85546875" style="1" customWidth="1"/>
    <col min="760" max="1000" width="11.5703125" style="1"/>
    <col min="1001" max="1001" width="4.5703125" style="1" customWidth="1"/>
    <col min="1002" max="1002" width="29.140625" style="1" customWidth="1"/>
    <col min="1003" max="1003" width="14.140625" style="1" customWidth="1"/>
    <col min="1004" max="1004" width="11.5703125" style="1"/>
    <col min="1005" max="1005" width="10" style="1" customWidth="1"/>
    <col min="1006" max="1006" width="19.85546875" style="1" customWidth="1"/>
    <col min="1007" max="1007" width="12.28515625" style="1" customWidth="1"/>
    <col min="1008" max="1008" width="10" style="1" customWidth="1"/>
    <col min="1009" max="1009" width="10.140625" style="1" customWidth="1"/>
    <col min="1010" max="1010" width="10.28515625" style="1" customWidth="1"/>
    <col min="1011" max="1011" width="10.42578125" style="1" customWidth="1"/>
    <col min="1012" max="1013" width="10.85546875" style="1" customWidth="1"/>
    <col min="1014" max="1014" width="9.7109375" style="1" customWidth="1"/>
    <col min="1015" max="1015" width="12.85546875" style="1" customWidth="1"/>
    <col min="1016" max="1256" width="11.5703125" style="1"/>
    <col min="1257" max="1257" width="4.5703125" style="1" customWidth="1"/>
    <col min="1258" max="1258" width="29.140625" style="1" customWidth="1"/>
    <col min="1259" max="1259" width="14.140625" style="1" customWidth="1"/>
    <col min="1260" max="1260" width="11.5703125" style="1"/>
    <col min="1261" max="1261" width="10" style="1" customWidth="1"/>
    <col min="1262" max="1262" width="19.85546875" style="1" customWidth="1"/>
    <col min="1263" max="1263" width="12.28515625" style="1" customWidth="1"/>
    <col min="1264" max="1264" width="10" style="1" customWidth="1"/>
    <col min="1265" max="1265" width="10.140625" style="1" customWidth="1"/>
    <col min="1266" max="1266" width="10.28515625" style="1" customWidth="1"/>
    <col min="1267" max="1267" width="10.42578125" style="1" customWidth="1"/>
    <col min="1268" max="1269" width="10.85546875" style="1" customWidth="1"/>
    <col min="1270" max="1270" width="9.7109375" style="1" customWidth="1"/>
    <col min="1271" max="1271" width="12.85546875" style="1" customWidth="1"/>
    <col min="1272" max="1512" width="11.5703125" style="1"/>
    <col min="1513" max="1513" width="4.5703125" style="1" customWidth="1"/>
    <col min="1514" max="1514" width="29.140625" style="1" customWidth="1"/>
    <col min="1515" max="1515" width="14.140625" style="1" customWidth="1"/>
    <col min="1516" max="1516" width="11.5703125" style="1"/>
    <col min="1517" max="1517" width="10" style="1" customWidth="1"/>
    <col min="1518" max="1518" width="19.85546875" style="1" customWidth="1"/>
    <col min="1519" max="1519" width="12.28515625" style="1" customWidth="1"/>
    <col min="1520" max="1520" width="10" style="1" customWidth="1"/>
    <col min="1521" max="1521" width="10.140625" style="1" customWidth="1"/>
    <col min="1522" max="1522" width="10.28515625" style="1" customWidth="1"/>
    <col min="1523" max="1523" width="10.42578125" style="1" customWidth="1"/>
    <col min="1524" max="1525" width="10.85546875" style="1" customWidth="1"/>
    <col min="1526" max="1526" width="9.7109375" style="1" customWidth="1"/>
    <col min="1527" max="1527" width="12.85546875" style="1" customWidth="1"/>
    <col min="1528" max="1768" width="11.5703125" style="1"/>
    <col min="1769" max="1769" width="4.5703125" style="1" customWidth="1"/>
    <col min="1770" max="1770" width="29.140625" style="1" customWidth="1"/>
    <col min="1771" max="1771" width="14.140625" style="1" customWidth="1"/>
    <col min="1772" max="1772" width="11.5703125" style="1"/>
    <col min="1773" max="1773" width="10" style="1" customWidth="1"/>
    <col min="1774" max="1774" width="19.85546875" style="1" customWidth="1"/>
    <col min="1775" max="1775" width="12.28515625" style="1" customWidth="1"/>
    <col min="1776" max="1776" width="10" style="1" customWidth="1"/>
    <col min="1777" max="1777" width="10.140625" style="1" customWidth="1"/>
    <col min="1778" max="1778" width="10.28515625" style="1" customWidth="1"/>
    <col min="1779" max="1779" width="10.42578125" style="1" customWidth="1"/>
    <col min="1780" max="1781" width="10.85546875" style="1" customWidth="1"/>
    <col min="1782" max="1782" width="9.7109375" style="1" customWidth="1"/>
    <col min="1783" max="1783" width="12.85546875" style="1" customWidth="1"/>
    <col min="1784" max="2024" width="11.5703125" style="1"/>
    <col min="2025" max="2025" width="4.5703125" style="1" customWidth="1"/>
    <col min="2026" max="2026" width="29.140625" style="1" customWidth="1"/>
    <col min="2027" max="2027" width="14.140625" style="1" customWidth="1"/>
    <col min="2028" max="2028" width="11.5703125" style="1"/>
    <col min="2029" max="2029" width="10" style="1" customWidth="1"/>
    <col min="2030" max="2030" width="19.85546875" style="1" customWidth="1"/>
    <col min="2031" max="2031" width="12.28515625" style="1" customWidth="1"/>
    <col min="2032" max="2032" width="10" style="1" customWidth="1"/>
    <col min="2033" max="2033" width="10.140625" style="1" customWidth="1"/>
    <col min="2034" max="2034" width="10.28515625" style="1" customWidth="1"/>
    <col min="2035" max="2035" width="10.42578125" style="1" customWidth="1"/>
    <col min="2036" max="2037" width="10.85546875" style="1" customWidth="1"/>
    <col min="2038" max="2038" width="9.7109375" style="1" customWidth="1"/>
    <col min="2039" max="2039" width="12.85546875" style="1" customWidth="1"/>
    <col min="2040" max="2280" width="11.5703125" style="1"/>
    <col min="2281" max="2281" width="4.5703125" style="1" customWidth="1"/>
    <col min="2282" max="2282" width="29.140625" style="1" customWidth="1"/>
    <col min="2283" max="2283" width="14.140625" style="1" customWidth="1"/>
    <col min="2284" max="2284" width="11.5703125" style="1"/>
    <col min="2285" max="2285" width="10" style="1" customWidth="1"/>
    <col min="2286" max="2286" width="19.85546875" style="1" customWidth="1"/>
    <col min="2287" max="2287" width="12.28515625" style="1" customWidth="1"/>
    <col min="2288" max="2288" width="10" style="1" customWidth="1"/>
    <col min="2289" max="2289" width="10.140625" style="1" customWidth="1"/>
    <col min="2290" max="2290" width="10.28515625" style="1" customWidth="1"/>
    <col min="2291" max="2291" width="10.42578125" style="1" customWidth="1"/>
    <col min="2292" max="2293" width="10.85546875" style="1" customWidth="1"/>
    <col min="2294" max="2294" width="9.7109375" style="1" customWidth="1"/>
    <col min="2295" max="2295" width="12.85546875" style="1" customWidth="1"/>
    <col min="2296" max="2536" width="11.5703125" style="1"/>
    <col min="2537" max="2537" width="4.5703125" style="1" customWidth="1"/>
    <col min="2538" max="2538" width="29.140625" style="1" customWidth="1"/>
    <col min="2539" max="2539" width="14.140625" style="1" customWidth="1"/>
    <col min="2540" max="2540" width="11.5703125" style="1"/>
    <col min="2541" max="2541" width="10" style="1" customWidth="1"/>
    <col min="2542" max="2542" width="19.85546875" style="1" customWidth="1"/>
    <col min="2543" max="2543" width="12.28515625" style="1" customWidth="1"/>
    <col min="2544" max="2544" width="10" style="1" customWidth="1"/>
    <col min="2545" max="2545" width="10.140625" style="1" customWidth="1"/>
    <col min="2546" max="2546" width="10.28515625" style="1" customWidth="1"/>
    <col min="2547" max="2547" width="10.42578125" style="1" customWidth="1"/>
    <col min="2548" max="2549" width="10.85546875" style="1" customWidth="1"/>
    <col min="2550" max="2550" width="9.7109375" style="1" customWidth="1"/>
    <col min="2551" max="2551" width="12.85546875" style="1" customWidth="1"/>
    <col min="2552" max="2792" width="11.5703125" style="1"/>
    <col min="2793" max="2793" width="4.5703125" style="1" customWidth="1"/>
    <col min="2794" max="2794" width="29.140625" style="1" customWidth="1"/>
    <col min="2795" max="2795" width="14.140625" style="1" customWidth="1"/>
    <col min="2796" max="2796" width="11.5703125" style="1"/>
    <col min="2797" max="2797" width="10" style="1" customWidth="1"/>
    <col min="2798" max="2798" width="19.85546875" style="1" customWidth="1"/>
    <col min="2799" max="2799" width="12.28515625" style="1" customWidth="1"/>
    <col min="2800" max="2800" width="10" style="1" customWidth="1"/>
    <col min="2801" max="2801" width="10.140625" style="1" customWidth="1"/>
    <col min="2802" max="2802" width="10.28515625" style="1" customWidth="1"/>
    <col min="2803" max="2803" width="10.42578125" style="1" customWidth="1"/>
    <col min="2804" max="2805" width="10.85546875" style="1" customWidth="1"/>
    <col min="2806" max="2806" width="9.7109375" style="1" customWidth="1"/>
    <col min="2807" max="2807" width="12.85546875" style="1" customWidth="1"/>
    <col min="2808" max="3048" width="11.5703125" style="1"/>
    <col min="3049" max="3049" width="4.5703125" style="1" customWidth="1"/>
    <col min="3050" max="3050" width="29.140625" style="1" customWidth="1"/>
    <col min="3051" max="3051" width="14.140625" style="1" customWidth="1"/>
    <col min="3052" max="3052" width="11.5703125" style="1"/>
    <col min="3053" max="3053" width="10" style="1" customWidth="1"/>
    <col min="3054" max="3054" width="19.85546875" style="1" customWidth="1"/>
    <col min="3055" max="3055" width="12.28515625" style="1" customWidth="1"/>
    <col min="3056" max="3056" width="10" style="1" customWidth="1"/>
    <col min="3057" max="3057" width="10.140625" style="1" customWidth="1"/>
    <col min="3058" max="3058" width="10.28515625" style="1" customWidth="1"/>
    <col min="3059" max="3059" width="10.42578125" style="1" customWidth="1"/>
    <col min="3060" max="3061" width="10.85546875" style="1" customWidth="1"/>
    <col min="3062" max="3062" width="9.7109375" style="1" customWidth="1"/>
    <col min="3063" max="3063" width="12.85546875" style="1" customWidth="1"/>
    <col min="3064" max="3304" width="11.5703125" style="1"/>
    <col min="3305" max="3305" width="4.5703125" style="1" customWidth="1"/>
    <col min="3306" max="3306" width="29.140625" style="1" customWidth="1"/>
    <col min="3307" max="3307" width="14.140625" style="1" customWidth="1"/>
    <col min="3308" max="3308" width="11.5703125" style="1"/>
    <col min="3309" max="3309" width="10" style="1" customWidth="1"/>
    <col min="3310" max="3310" width="19.85546875" style="1" customWidth="1"/>
    <col min="3311" max="3311" width="12.28515625" style="1" customWidth="1"/>
    <col min="3312" max="3312" width="10" style="1" customWidth="1"/>
    <col min="3313" max="3313" width="10.140625" style="1" customWidth="1"/>
    <col min="3314" max="3314" width="10.28515625" style="1" customWidth="1"/>
    <col min="3315" max="3315" width="10.42578125" style="1" customWidth="1"/>
    <col min="3316" max="3317" width="10.85546875" style="1" customWidth="1"/>
    <col min="3318" max="3318" width="9.7109375" style="1" customWidth="1"/>
    <col min="3319" max="3319" width="12.85546875" style="1" customWidth="1"/>
    <col min="3320" max="3560" width="11.5703125" style="1"/>
    <col min="3561" max="3561" width="4.5703125" style="1" customWidth="1"/>
    <col min="3562" max="3562" width="29.140625" style="1" customWidth="1"/>
    <col min="3563" max="3563" width="14.140625" style="1" customWidth="1"/>
    <col min="3564" max="3564" width="11.5703125" style="1"/>
    <col min="3565" max="3565" width="10" style="1" customWidth="1"/>
    <col min="3566" max="3566" width="19.85546875" style="1" customWidth="1"/>
    <col min="3567" max="3567" width="12.28515625" style="1" customWidth="1"/>
    <col min="3568" max="3568" width="10" style="1" customWidth="1"/>
    <col min="3569" max="3569" width="10.140625" style="1" customWidth="1"/>
    <col min="3570" max="3570" width="10.28515625" style="1" customWidth="1"/>
    <col min="3571" max="3571" width="10.42578125" style="1" customWidth="1"/>
    <col min="3572" max="3573" width="10.85546875" style="1" customWidth="1"/>
    <col min="3574" max="3574" width="9.7109375" style="1" customWidth="1"/>
    <col min="3575" max="3575" width="12.85546875" style="1" customWidth="1"/>
    <col min="3576" max="3816" width="11.5703125" style="1"/>
    <col min="3817" max="3817" width="4.5703125" style="1" customWidth="1"/>
    <col min="3818" max="3818" width="29.140625" style="1" customWidth="1"/>
    <col min="3819" max="3819" width="14.140625" style="1" customWidth="1"/>
    <col min="3820" max="3820" width="11.5703125" style="1"/>
    <col min="3821" max="3821" width="10" style="1" customWidth="1"/>
    <col min="3822" max="3822" width="19.85546875" style="1" customWidth="1"/>
    <col min="3823" max="3823" width="12.28515625" style="1" customWidth="1"/>
    <col min="3824" max="3824" width="10" style="1" customWidth="1"/>
    <col min="3825" max="3825" width="10.140625" style="1" customWidth="1"/>
    <col min="3826" max="3826" width="10.28515625" style="1" customWidth="1"/>
    <col min="3827" max="3827" width="10.42578125" style="1" customWidth="1"/>
    <col min="3828" max="3829" width="10.85546875" style="1" customWidth="1"/>
    <col min="3830" max="3830" width="9.7109375" style="1" customWidth="1"/>
    <col min="3831" max="3831" width="12.85546875" style="1" customWidth="1"/>
    <col min="3832" max="4072" width="11.5703125" style="1"/>
    <col min="4073" max="4073" width="4.5703125" style="1" customWidth="1"/>
    <col min="4074" max="4074" width="29.140625" style="1" customWidth="1"/>
    <col min="4075" max="4075" width="14.140625" style="1" customWidth="1"/>
    <col min="4076" max="4076" width="11.5703125" style="1"/>
    <col min="4077" max="4077" width="10" style="1" customWidth="1"/>
    <col min="4078" max="4078" width="19.85546875" style="1" customWidth="1"/>
    <col min="4079" max="4079" width="12.28515625" style="1" customWidth="1"/>
    <col min="4080" max="4080" width="10" style="1" customWidth="1"/>
    <col min="4081" max="4081" width="10.140625" style="1" customWidth="1"/>
    <col min="4082" max="4082" width="10.28515625" style="1" customWidth="1"/>
    <col min="4083" max="4083" width="10.42578125" style="1" customWidth="1"/>
    <col min="4084" max="4085" width="10.85546875" style="1" customWidth="1"/>
    <col min="4086" max="4086" width="9.7109375" style="1" customWidth="1"/>
    <col min="4087" max="4087" width="12.85546875" style="1" customWidth="1"/>
    <col min="4088" max="4328" width="11.5703125" style="1"/>
    <col min="4329" max="4329" width="4.5703125" style="1" customWidth="1"/>
    <col min="4330" max="4330" width="29.140625" style="1" customWidth="1"/>
    <col min="4331" max="4331" width="14.140625" style="1" customWidth="1"/>
    <col min="4332" max="4332" width="11.5703125" style="1"/>
    <col min="4333" max="4333" width="10" style="1" customWidth="1"/>
    <col min="4334" max="4334" width="19.85546875" style="1" customWidth="1"/>
    <col min="4335" max="4335" width="12.28515625" style="1" customWidth="1"/>
    <col min="4336" max="4336" width="10" style="1" customWidth="1"/>
    <col min="4337" max="4337" width="10.140625" style="1" customWidth="1"/>
    <col min="4338" max="4338" width="10.28515625" style="1" customWidth="1"/>
    <col min="4339" max="4339" width="10.42578125" style="1" customWidth="1"/>
    <col min="4340" max="4341" width="10.85546875" style="1" customWidth="1"/>
    <col min="4342" max="4342" width="9.7109375" style="1" customWidth="1"/>
    <col min="4343" max="4343" width="12.85546875" style="1" customWidth="1"/>
    <col min="4344" max="4584" width="11.5703125" style="1"/>
    <col min="4585" max="4585" width="4.5703125" style="1" customWidth="1"/>
    <col min="4586" max="4586" width="29.140625" style="1" customWidth="1"/>
    <col min="4587" max="4587" width="14.140625" style="1" customWidth="1"/>
    <col min="4588" max="4588" width="11.5703125" style="1"/>
    <col min="4589" max="4589" width="10" style="1" customWidth="1"/>
    <col min="4590" max="4590" width="19.85546875" style="1" customWidth="1"/>
    <col min="4591" max="4591" width="12.28515625" style="1" customWidth="1"/>
    <col min="4592" max="4592" width="10" style="1" customWidth="1"/>
    <col min="4593" max="4593" width="10.140625" style="1" customWidth="1"/>
    <col min="4594" max="4594" width="10.28515625" style="1" customWidth="1"/>
    <col min="4595" max="4595" width="10.42578125" style="1" customWidth="1"/>
    <col min="4596" max="4597" width="10.85546875" style="1" customWidth="1"/>
    <col min="4598" max="4598" width="9.7109375" style="1" customWidth="1"/>
    <col min="4599" max="4599" width="12.85546875" style="1" customWidth="1"/>
    <col min="4600" max="4840" width="11.5703125" style="1"/>
    <col min="4841" max="4841" width="4.5703125" style="1" customWidth="1"/>
    <col min="4842" max="4842" width="29.140625" style="1" customWidth="1"/>
    <col min="4843" max="4843" width="14.140625" style="1" customWidth="1"/>
    <col min="4844" max="4844" width="11.5703125" style="1"/>
    <col min="4845" max="4845" width="10" style="1" customWidth="1"/>
    <col min="4846" max="4846" width="19.85546875" style="1" customWidth="1"/>
    <col min="4847" max="4847" width="12.28515625" style="1" customWidth="1"/>
    <col min="4848" max="4848" width="10" style="1" customWidth="1"/>
    <col min="4849" max="4849" width="10.140625" style="1" customWidth="1"/>
    <col min="4850" max="4850" width="10.28515625" style="1" customWidth="1"/>
    <col min="4851" max="4851" width="10.42578125" style="1" customWidth="1"/>
    <col min="4852" max="4853" width="10.85546875" style="1" customWidth="1"/>
    <col min="4854" max="4854" width="9.7109375" style="1" customWidth="1"/>
    <col min="4855" max="4855" width="12.85546875" style="1" customWidth="1"/>
    <col min="4856" max="5096" width="11.5703125" style="1"/>
    <col min="5097" max="5097" width="4.5703125" style="1" customWidth="1"/>
    <col min="5098" max="5098" width="29.140625" style="1" customWidth="1"/>
    <col min="5099" max="5099" width="14.140625" style="1" customWidth="1"/>
    <col min="5100" max="5100" width="11.5703125" style="1"/>
    <col min="5101" max="5101" width="10" style="1" customWidth="1"/>
    <col min="5102" max="5102" width="19.85546875" style="1" customWidth="1"/>
    <col min="5103" max="5103" width="12.28515625" style="1" customWidth="1"/>
    <col min="5104" max="5104" width="10" style="1" customWidth="1"/>
    <col min="5105" max="5105" width="10.140625" style="1" customWidth="1"/>
    <col min="5106" max="5106" width="10.28515625" style="1" customWidth="1"/>
    <col min="5107" max="5107" width="10.42578125" style="1" customWidth="1"/>
    <col min="5108" max="5109" width="10.85546875" style="1" customWidth="1"/>
    <col min="5110" max="5110" width="9.7109375" style="1" customWidth="1"/>
    <col min="5111" max="5111" width="12.85546875" style="1" customWidth="1"/>
    <col min="5112" max="5352" width="11.5703125" style="1"/>
    <col min="5353" max="5353" width="4.5703125" style="1" customWidth="1"/>
    <col min="5354" max="5354" width="29.140625" style="1" customWidth="1"/>
    <col min="5355" max="5355" width="14.140625" style="1" customWidth="1"/>
    <col min="5356" max="5356" width="11.5703125" style="1"/>
    <col min="5357" max="5357" width="10" style="1" customWidth="1"/>
    <col min="5358" max="5358" width="19.85546875" style="1" customWidth="1"/>
    <col min="5359" max="5359" width="12.28515625" style="1" customWidth="1"/>
    <col min="5360" max="5360" width="10" style="1" customWidth="1"/>
    <col min="5361" max="5361" width="10.140625" style="1" customWidth="1"/>
    <col min="5362" max="5362" width="10.28515625" style="1" customWidth="1"/>
    <col min="5363" max="5363" width="10.42578125" style="1" customWidth="1"/>
    <col min="5364" max="5365" width="10.85546875" style="1" customWidth="1"/>
    <col min="5366" max="5366" width="9.7109375" style="1" customWidth="1"/>
    <col min="5367" max="5367" width="12.85546875" style="1" customWidth="1"/>
    <col min="5368" max="5608" width="11.5703125" style="1"/>
    <col min="5609" max="5609" width="4.5703125" style="1" customWidth="1"/>
    <col min="5610" max="5610" width="29.140625" style="1" customWidth="1"/>
    <col min="5611" max="5611" width="14.140625" style="1" customWidth="1"/>
    <col min="5612" max="5612" width="11.5703125" style="1"/>
    <col min="5613" max="5613" width="10" style="1" customWidth="1"/>
    <col min="5614" max="5614" width="19.85546875" style="1" customWidth="1"/>
    <col min="5615" max="5615" width="12.28515625" style="1" customWidth="1"/>
    <col min="5616" max="5616" width="10" style="1" customWidth="1"/>
    <col min="5617" max="5617" width="10.140625" style="1" customWidth="1"/>
    <col min="5618" max="5618" width="10.28515625" style="1" customWidth="1"/>
    <col min="5619" max="5619" width="10.42578125" style="1" customWidth="1"/>
    <col min="5620" max="5621" width="10.85546875" style="1" customWidth="1"/>
    <col min="5622" max="5622" width="9.7109375" style="1" customWidth="1"/>
    <col min="5623" max="5623" width="12.85546875" style="1" customWidth="1"/>
    <col min="5624" max="5864" width="11.5703125" style="1"/>
    <col min="5865" max="5865" width="4.5703125" style="1" customWidth="1"/>
    <col min="5866" max="5866" width="29.140625" style="1" customWidth="1"/>
    <col min="5867" max="5867" width="14.140625" style="1" customWidth="1"/>
    <col min="5868" max="5868" width="11.5703125" style="1"/>
    <col min="5869" max="5869" width="10" style="1" customWidth="1"/>
    <col min="5870" max="5870" width="19.85546875" style="1" customWidth="1"/>
    <col min="5871" max="5871" width="12.28515625" style="1" customWidth="1"/>
    <col min="5872" max="5872" width="10" style="1" customWidth="1"/>
    <col min="5873" max="5873" width="10.140625" style="1" customWidth="1"/>
    <col min="5874" max="5874" width="10.28515625" style="1" customWidth="1"/>
    <col min="5875" max="5875" width="10.42578125" style="1" customWidth="1"/>
    <col min="5876" max="5877" width="10.85546875" style="1" customWidth="1"/>
    <col min="5878" max="5878" width="9.7109375" style="1" customWidth="1"/>
    <col min="5879" max="5879" width="12.85546875" style="1" customWidth="1"/>
    <col min="5880" max="6120" width="11.5703125" style="1"/>
    <col min="6121" max="6121" width="4.5703125" style="1" customWidth="1"/>
    <col min="6122" max="6122" width="29.140625" style="1" customWidth="1"/>
    <col min="6123" max="6123" width="14.140625" style="1" customWidth="1"/>
    <col min="6124" max="6124" width="11.5703125" style="1"/>
    <col min="6125" max="6125" width="10" style="1" customWidth="1"/>
    <col min="6126" max="6126" width="19.85546875" style="1" customWidth="1"/>
    <col min="6127" max="6127" width="12.28515625" style="1" customWidth="1"/>
    <col min="6128" max="6128" width="10" style="1" customWidth="1"/>
    <col min="6129" max="6129" width="10.140625" style="1" customWidth="1"/>
    <col min="6130" max="6130" width="10.28515625" style="1" customWidth="1"/>
    <col min="6131" max="6131" width="10.42578125" style="1" customWidth="1"/>
    <col min="6132" max="6133" width="10.85546875" style="1" customWidth="1"/>
    <col min="6134" max="6134" width="9.7109375" style="1" customWidth="1"/>
    <col min="6135" max="6135" width="12.85546875" style="1" customWidth="1"/>
    <col min="6136" max="6376" width="11.5703125" style="1"/>
    <col min="6377" max="6377" width="4.5703125" style="1" customWidth="1"/>
    <col min="6378" max="6378" width="29.140625" style="1" customWidth="1"/>
    <col min="6379" max="6379" width="14.140625" style="1" customWidth="1"/>
    <col min="6380" max="6380" width="11.5703125" style="1"/>
    <col min="6381" max="6381" width="10" style="1" customWidth="1"/>
    <col min="6382" max="6382" width="19.85546875" style="1" customWidth="1"/>
    <col min="6383" max="6383" width="12.28515625" style="1" customWidth="1"/>
    <col min="6384" max="6384" width="10" style="1" customWidth="1"/>
    <col min="6385" max="6385" width="10.140625" style="1" customWidth="1"/>
    <col min="6386" max="6386" width="10.28515625" style="1" customWidth="1"/>
    <col min="6387" max="6387" width="10.42578125" style="1" customWidth="1"/>
    <col min="6388" max="6389" width="10.85546875" style="1" customWidth="1"/>
    <col min="6390" max="6390" width="9.7109375" style="1" customWidth="1"/>
    <col min="6391" max="6391" width="12.85546875" style="1" customWidth="1"/>
    <col min="6392" max="6632" width="11.5703125" style="1"/>
    <col min="6633" max="6633" width="4.5703125" style="1" customWidth="1"/>
    <col min="6634" max="6634" width="29.140625" style="1" customWidth="1"/>
    <col min="6635" max="6635" width="14.140625" style="1" customWidth="1"/>
    <col min="6636" max="6636" width="11.5703125" style="1"/>
    <col min="6637" max="6637" width="10" style="1" customWidth="1"/>
    <col min="6638" max="6638" width="19.85546875" style="1" customWidth="1"/>
    <col min="6639" max="6639" width="12.28515625" style="1" customWidth="1"/>
    <col min="6640" max="6640" width="10" style="1" customWidth="1"/>
    <col min="6641" max="6641" width="10.140625" style="1" customWidth="1"/>
    <col min="6642" max="6642" width="10.28515625" style="1" customWidth="1"/>
    <col min="6643" max="6643" width="10.42578125" style="1" customWidth="1"/>
    <col min="6644" max="6645" width="10.85546875" style="1" customWidth="1"/>
    <col min="6646" max="6646" width="9.7109375" style="1" customWidth="1"/>
    <col min="6647" max="6647" width="12.85546875" style="1" customWidth="1"/>
    <col min="6648" max="6888" width="11.5703125" style="1"/>
    <col min="6889" max="6889" width="4.5703125" style="1" customWidth="1"/>
    <col min="6890" max="6890" width="29.140625" style="1" customWidth="1"/>
    <col min="6891" max="6891" width="14.140625" style="1" customWidth="1"/>
    <col min="6892" max="6892" width="11.5703125" style="1"/>
    <col min="6893" max="6893" width="10" style="1" customWidth="1"/>
    <col min="6894" max="6894" width="19.85546875" style="1" customWidth="1"/>
    <col min="6895" max="6895" width="12.28515625" style="1" customWidth="1"/>
    <col min="6896" max="6896" width="10" style="1" customWidth="1"/>
    <col min="6897" max="6897" width="10.140625" style="1" customWidth="1"/>
    <col min="6898" max="6898" width="10.28515625" style="1" customWidth="1"/>
    <col min="6899" max="6899" width="10.42578125" style="1" customWidth="1"/>
    <col min="6900" max="6901" width="10.85546875" style="1" customWidth="1"/>
    <col min="6902" max="6902" width="9.7109375" style="1" customWidth="1"/>
    <col min="6903" max="6903" width="12.85546875" style="1" customWidth="1"/>
    <col min="6904" max="7144" width="11.5703125" style="1"/>
    <col min="7145" max="7145" width="4.5703125" style="1" customWidth="1"/>
    <col min="7146" max="7146" width="29.140625" style="1" customWidth="1"/>
    <col min="7147" max="7147" width="14.140625" style="1" customWidth="1"/>
    <col min="7148" max="7148" width="11.5703125" style="1"/>
    <col min="7149" max="7149" width="10" style="1" customWidth="1"/>
    <col min="7150" max="7150" width="19.85546875" style="1" customWidth="1"/>
    <col min="7151" max="7151" width="12.28515625" style="1" customWidth="1"/>
    <col min="7152" max="7152" width="10" style="1" customWidth="1"/>
    <col min="7153" max="7153" width="10.140625" style="1" customWidth="1"/>
    <col min="7154" max="7154" width="10.28515625" style="1" customWidth="1"/>
    <col min="7155" max="7155" width="10.42578125" style="1" customWidth="1"/>
    <col min="7156" max="7157" width="10.85546875" style="1" customWidth="1"/>
    <col min="7158" max="7158" width="9.7109375" style="1" customWidth="1"/>
    <col min="7159" max="7159" width="12.85546875" style="1" customWidth="1"/>
    <col min="7160" max="7400" width="11.5703125" style="1"/>
    <col min="7401" max="7401" width="4.5703125" style="1" customWidth="1"/>
    <col min="7402" max="7402" width="29.140625" style="1" customWidth="1"/>
    <col min="7403" max="7403" width="14.140625" style="1" customWidth="1"/>
    <col min="7404" max="7404" width="11.5703125" style="1"/>
    <col min="7405" max="7405" width="10" style="1" customWidth="1"/>
    <col min="7406" max="7406" width="19.85546875" style="1" customWidth="1"/>
    <col min="7407" max="7407" width="12.28515625" style="1" customWidth="1"/>
    <col min="7408" max="7408" width="10" style="1" customWidth="1"/>
    <col min="7409" max="7409" width="10.140625" style="1" customWidth="1"/>
    <col min="7410" max="7410" width="10.28515625" style="1" customWidth="1"/>
    <col min="7411" max="7411" width="10.42578125" style="1" customWidth="1"/>
    <col min="7412" max="7413" width="10.85546875" style="1" customWidth="1"/>
    <col min="7414" max="7414" width="9.7109375" style="1" customWidth="1"/>
    <col min="7415" max="7415" width="12.85546875" style="1" customWidth="1"/>
    <col min="7416" max="7656" width="11.5703125" style="1"/>
    <col min="7657" max="7657" width="4.5703125" style="1" customWidth="1"/>
    <col min="7658" max="7658" width="29.140625" style="1" customWidth="1"/>
    <col min="7659" max="7659" width="14.140625" style="1" customWidth="1"/>
    <col min="7660" max="7660" width="11.5703125" style="1"/>
    <col min="7661" max="7661" width="10" style="1" customWidth="1"/>
    <col min="7662" max="7662" width="19.85546875" style="1" customWidth="1"/>
    <col min="7663" max="7663" width="12.28515625" style="1" customWidth="1"/>
    <col min="7664" max="7664" width="10" style="1" customWidth="1"/>
    <col min="7665" max="7665" width="10.140625" style="1" customWidth="1"/>
    <col min="7666" max="7666" width="10.28515625" style="1" customWidth="1"/>
    <col min="7667" max="7667" width="10.42578125" style="1" customWidth="1"/>
    <col min="7668" max="7669" width="10.85546875" style="1" customWidth="1"/>
    <col min="7670" max="7670" width="9.7109375" style="1" customWidth="1"/>
    <col min="7671" max="7671" width="12.85546875" style="1" customWidth="1"/>
    <col min="7672" max="7912" width="11.5703125" style="1"/>
    <col min="7913" max="7913" width="4.5703125" style="1" customWidth="1"/>
    <col min="7914" max="7914" width="29.140625" style="1" customWidth="1"/>
    <col min="7915" max="7915" width="14.140625" style="1" customWidth="1"/>
    <col min="7916" max="7916" width="11.5703125" style="1"/>
    <col min="7917" max="7917" width="10" style="1" customWidth="1"/>
    <col min="7918" max="7918" width="19.85546875" style="1" customWidth="1"/>
    <col min="7919" max="7919" width="12.28515625" style="1" customWidth="1"/>
    <col min="7920" max="7920" width="10" style="1" customWidth="1"/>
    <col min="7921" max="7921" width="10.140625" style="1" customWidth="1"/>
    <col min="7922" max="7922" width="10.28515625" style="1" customWidth="1"/>
    <col min="7923" max="7923" width="10.42578125" style="1" customWidth="1"/>
    <col min="7924" max="7925" width="10.85546875" style="1" customWidth="1"/>
    <col min="7926" max="7926" width="9.7109375" style="1" customWidth="1"/>
    <col min="7927" max="7927" width="12.85546875" style="1" customWidth="1"/>
    <col min="7928" max="8168" width="11.5703125" style="1"/>
    <col min="8169" max="8169" width="4.5703125" style="1" customWidth="1"/>
    <col min="8170" max="8170" width="29.140625" style="1" customWidth="1"/>
    <col min="8171" max="8171" width="14.140625" style="1" customWidth="1"/>
    <col min="8172" max="8172" width="11.5703125" style="1"/>
    <col min="8173" max="8173" width="10" style="1" customWidth="1"/>
    <col min="8174" max="8174" width="19.85546875" style="1" customWidth="1"/>
    <col min="8175" max="8175" width="12.28515625" style="1" customWidth="1"/>
    <col min="8176" max="8176" width="10" style="1" customWidth="1"/>
    <col min="8177" max="8177" width="10.140625" style="1" customWidth="1"/>
    <col min="8178" max="8178" width="10.28515625" style="1" customWidth="1"/>
    <col min="8179" max="8179" width="10.42578125" style="1" customWidth="1"/>
    <col min="8180" max="8181" width="10.85546875" style="1" customWidth="1"/>
    <col min="8182" max="8182" width="9.7109375" style="1" customWidth="1"/>
    <col min="8183" max="8183" width="12.85546875" style="1" customWidth="1"/>
    <col min="8184" max="8424" width="11.5703125" style="1"/>
    <col min="8425" max="8425" width="4.5703125" style="1" customWidth="1"/>
    <col min="8426" max="8426" width="29.140625" style="1" customWidth="1"/>
    <col min="8427" max="8427" width="14.140625" style="1" customWidth="1"/>
    <col min="8428" max="8428" width="11.5703125" style="1"/>
    <col min="8429" max="8429" width="10" style="1" customWidth="1"/>
    <col min="8430" max="8430" width="19.85546875" style="1" customWidth="1"/>
    <col min="8431" max="8431" width="12.28515625" style="1" customWidth="1"/>
    <col min="8432" max="8432" width="10" style="1" customWidth="1"/>
    <col min="8433" max="8433" width="10.140625" style="1" customWidth="1"/>
    <col min="8434" max="8434" width="10.28515625" style="1" customWidth="1"/>
    <col min="8435" max="8435" width="10.42578125" style="1" customWidth="1"/>
    <col min="8436" max="8437" width="10.85546875" style="1" customWidth="1"/>
    <col min="8438" max="8438" width="9.7109375" style="1" customWidth="1"/>
    <col min="8439" max="8439" width="12.85546875" style="1" customWidth="1"/>
    <col min="8440" max="8680" width="11.5703125" style="1"/>
    <col min="8681" max="8681" width="4.5703125" style="1" customWidth="1"/>
    <col min="8682" max="8682" width="29.140625" style="1" customWidth="1"/>
    <col min="8683" max="8683" width="14.140625" style="1" customWidth="1"/>
    <col min="8684" max="8684" width="11.5703125" style="1"/>
    <col min="8685" max="8685" width="10" style="1" customWidth="1"/>
    <col min="8686" max="8686" width="19.85546875" style="1" customWidth="1"/>
    <col min="8687" max="8687" width="12.28515625" style="1" customWidth="1"/>
    <col min="8688" max="8688" width="10" style="1" customWidth="1"/>
    <col min="8689" max="8689" width="10.140625" style="1" customWidth="1"/>
    <col min="8690" max="8690" width="10.28515625" style="1" customWidth="1"/>
    <col min="8691" max="8691" width="10.42578125" style="1" customWidth="1"/>
    <col min="8692" max="8693" width="10.85546875" style="1" customWidth="1"/>
    <col min="8694" max="8694" width="9.7109375" style="1" customWidth="1"/>
    <col min="8695" max="8695" width="12.85546875" style="1" customWidth="1"/>
    <col min="8696" max="8936" width="11.5703125" style="1"/>
    <col min="8937" max="8937" width="4.5703125" style="1" customWidth="1"/>
    <col min="8938" max="8938" width="29.140625" style="1" customWidth="1"/>
    <col min="8939" max="8939" width="14.140625" style="1" customWidth="1"/>
    <col min="8940" max="8940" width="11.5703125" style="1"/>
    <col min="8941" max="8941" width="10" style="1" customWidth="1"/>
    <col min="8942" max="8942" width="19.85546875" style="1" customWidth="1"/>
    <col min="8943" max="8943" width="12.28515625" style="1" customWidth="1"/>
    <col min="8944" max="8944" width="10" style="1" customWidth="1"/>
    <col min="8945" max="8945" width="10.140625" style="1" customWidth="1"/>
    <col min="8946" max="8946" width="10.28515625" style="1" customWidth="1"/>
    <col min="8947" max="8947" width="10.42578125" style="1" customWidth="1"/>
    <col min="8948" max="8949" width="10.85546875" style="1" customWidth="1"/>
    <col min="8950" max="8950" width="9.7109375" style="1" customWidth="1"/>
    <col min="8951" max="8951" width="12.85546875" style="1" customWidth="1"/>
    <col min="8952" max="9192" width="11.5703125" style="1"/>
    <col min="9193" max="9193" width="4.5703125" style="1" customWidth="1"/>
    <col min="9194" max="9194" width="29.140625" style="1" customWidth="1"/>
    <col min="9195" max="9195" width="14.140625" style="1" customWidth="1"/>
    <col min="9196" max="9196" width="11.5703125" style="1"/>
    <col min="9197" max="9197" width="10" style="1" customWidth="1"/>
    <col min="9198" max="9198" width="19.85546875" style="1" customWidth="1"/>
    <col min="9199" max="9199" width="12.28515625" style="1" customWidth="1"/>
    <col min="9200" max="9200" width="10" style="1" customWidth="1"/>
    <col min="9201" max="9201" width="10.140625" style="1" customWidth="1"/>
    <col min="9202" max="9202" width="10.28515625" style="1" customWidth="1"/>
    <col min="9203" max="9203" width="10.42578125" style="1" customWidth="1"/>
    <col min="9204" max="9205" width="10.85546875" style="1" customWidth="1"/>
    <col min="9206" max="9206" width="9.7109375" style="1" customWidth="1"/>
    <col min="9207" max="9207" width="12.85546875" style="1" customWidth="1"/>
    <col min="9208" max="9448" width="11.5703125" style="1"/>
    <col min="9449" max="9449" width="4.5703125" style="1" customWidth="1"/>
    <col min="9450" max="9450" width="29.140625" style="1" customWidth="1"/>
    <col min="9451" max="9451" width="14.140625" style="1" customWidth="1"/>
    <col min="9452" max="9452" width="11.5703125" style="1"/>
    <col min="9453" max="9453" width="10" style="1" customWidth="1"/>
    <col min="9454" max="9454" width="19.85546875" style="1" customWidth="1"/>
    <col min="9455" max="9455" width="12.28515625" style="1" customWidth="1"/>
    <col min="9456" max="9456" width="10" style="1" customWidth="1"/>
    <col min="9457" max="9457" width="10.140625" style="1" customWidth="1"/>
    <col min="9458" max="9458" width="10.28515625" style="1" customWidth="1"/>
    <col min="9459" max="9459" width="10.42578125" style="1" customWidth="1"/>
    <col min="9460" max="9461" width="10.85546875" style="1" customWidth="1"/>
    <col min="9462" max="9462" width="9.7109375" style="1" customWidth="1"/>
    <col min="9463" max="9463" width="12.85546875" style="1" customWidth="1"/>
    <col min="9464" max="9704" width="11.5703125" style="1"/>
    <col min="9705" max="9705" width="4.5703125" style="1" customWidth="1"/>
    <col min="9706" max="9706" width="29.140625" style="1" customWidth="1"/>
    <col min="9707" max="9707" width="14.140625" style="1" customWidth="1"/>
    <col min="9708" max="9708" width="11.5703125" style="1"/>
    <col min="9709" max="9709" width="10" style="1" customWidth="1"/>
    <col min="9710" max="9710" width="19.85546875" style="1" customWidth="1"/>
    <col min="9711" max="9711" width="12.28515625" style="1" customWidth="1"/>
    <col min="9712" max="9712" width="10" style="1" customWidth="1"/>
    <col min="9713" max="9713" width="10.140625" style="1" customWidth="1"/>
    <col min="9714" max="9714" width="10.28515625" style="1" customWidth="1"/>
    <col min="9715" max="9715" width="10.42578125" style="1" customWidth="1"/>
    <col min="9716" max="9717" width="10.85546875" style="1" customWidth="1"/>
    <col min="9718" max="9718" width="9.7109375" style="1" customWidth="1"/>
    <col min="9719" max="9719" width="12.85546875" style="1" customWidth="1"/>
    <col min="9720" max="9960" width="11.5703125" style="1"/>
    <col min="9961" max="9961" width="4.5703125" style="1" customWidth="1"/>
    <col min="9962" max="9962" width="29.140625" style="1" customWidth="1"/>
    <col min="9963" max="9963" width="14.140625" style="1" customWidth="1"/>
    <col min="9964" max="9964" width="11.5703125" style="1"/>
    <col min="9965" max="9965" width="10" style="1" customWidth="1"/>
    <col min="9966" max="9966" width="19.85546875" style="1" customWidth="1"/>
    <col min="9967" max="9967" width="12.28515625" style="1" customWidth="1"/>
    <col min="9968" max="9968" width="10" style="1" customWidth="1"/>
    <col min="9969" max="9969" width="10.140625" style="1" customWidth="1"/>
    <col min="9970" max="9970" width="10.28515625" style="1" customWidth="1"/>
    <col min="9971" max="9971" width="10.42578125" style="1" customWidth="1"/>
    <col min="9972" max="9973" width="10.85546875" style="1" customWidth="1"/>
    <col min="9974" max="9974" width="9.7109375" style="1" customWidth="1"/>
    <col min="9975" max="9975" width="12.85546875" style="1" customWidth="1"/>
    <col min="9976" max="10216" width="11.5703125" style="1"/>
    <col min="10217" max="10217" width="4.5703125" style="1" customWidth="1"/>
    <col min="10218" max="10218" width="29.140625" style="1" customWidth="1"/>
    <col min="10219" max="10219" width="14.140625" style="1" customWidth="1"/>
    <col min="10220" max="10220" width="11.5703125" style="1"/>
    <col min="10221" max="10221" width="10" style="1" customWidth="1"/>
    <col min="10222" max="10222" width="19.85546875" style="1" customWidth="1"/>
    <col min="10223" max="10223" width="12.28515625" style="1" customWidth="1"/>
    <col min="10224" max="10224" width="10" style="1" customWidth="1"/>
    <col min="10225" max="10225" width="10.140625" style="1" customWidth="1"/>
    <col min="10226" max="10226" width="10.28515625" style="1" customWidth="1"/>
    <col min="10227" max="10227" width="10.42578125" style="1" customWidth="1"/>
    <col min="10228" max="10229" width="10.85546875" style="1" customWidth="1"/>
    <col min="10230" max="10230" width="9.7109375" style="1" customWidth="1"/>
    <col min="10231" max="10231" width="12.85546875" style="1" customWidth="1"/>
    <col min="10232" max="10472" width="11.5703125" style="1"/>
    <col min="10473" max="10473" width="4.5703125" style="1" customWidth="1"/>
    <col min="10474" max="10474" width="29.140625" style="1" customWidth="1"/>
    <col min="10475" max="10475" width="14.140625" style="1" customWidth="1"/>
    <col min="10476" max="10476" width="11.5703125" style="1"/>
    <col min="10477" max="10477" width="10" style="1" customWidth="1"/>
    <col min="10478" max="10478" width="19.85546875" style="1" customWidth="1"/>
    <col min="10479" max="10479" width="12.28515625" style="1" customWidth="1"/>
    <col min="10480" max="10480" width="10" style="1" customWidth="1"/>
    <col min="10481" max="10481" width="10.140625" style="1" customWidth="1"/>
    <col min="10482" max="10482" width="10.28515625" style="1" customWidth="1"/>
    <col min="10483" max="10483" width="10.42578125" style="1" customWidth="1"/>
    <col min="10484" max="10485" width="10.85546875" style="1" customWidth="1"/>
    <col min="10486" max="10486" width="9.7109375" style="1" customWidth="1"/>
    <col min="10487" max="10487" width="12.85546875" style="1" customWidth="1"/>
    <col min="10488" max="10728" width="11.5703125" style="1"/>
    <col min="10729" max="10729" width="4.5703125" style="1" customWidth="1"/>
    <col min="10730" max="10730" width="29.140625" style="1" customWidth="1"/>
    <col min="10731" max="10731" width="14.140625" style="1" customWidth="1"/>
    <col min="10732" max="10732" width="11.5703125" style="1"/>
    <col min="10733" max="10733" width="10" style="1" customWidth="1"/>
    <col min="10734" max="10734" width="19.85546875" style="1" customWidth="1"/>
    <col min="10735" max="10735" width="12.28515625" style="1" customWidth="1"/>
    <col min="10736" max="10736" width="10" style="1" customWidth="1"/>
    <col min="10737" max="10737" width="10.140625" style="1" customWidth="1"/>
    <col min="10738" max="10738" width="10.28515625" style="1" customWidth="1"/>
    <col min="10739" max="10739" width="10.42578125" style="1" customWidth="1"/>
    <col min="10740" max="10741" width="10.85546875" style="1" customWidth="1"/>
    <col min="10742" max="10742" width="9.7109375" style="1" customWidth="1"/>
    <col min="10743" max="10743" width="12.85546875" style="1" customWidth="1"/>
    <col min="10744" max="10984" width="11.5703125" style="1"/>
    <col min="10985" max="10985" width="4.5703125" style="1" customWidth="1"/>
    <col min="10986" max="10986" width="29.140625" style="1" customWidth="1"/>
    <col min="10987" max="10987" width="14.140625" style="1" customWidth="1"/>
    <col min="10988" max="10988" width="11.5703125" style="1"/>
    <col min="10989" max="10989" width="10" style="1" customWidth="1"/>
    <col min="10990" max="10990" width="19.85546875" style="1" customWidth="1"/>
    <col min="10991" max="10991" width="12.28515625" style="1" customWidth="1"/>
    <col min="10992" max="10992" width="10" style="1" customWidth="1"/>
    <col min="10993" max="10993" width="10.140625" style="1" customWidth="1"/>
    <col min="10994" max="10994" width="10.28515625" style="1" customWidth="1"/>
    <col min="10995" max="10995" width="10.42578125" style="1" customWidth="1"/>
    <col min="10996" max="10997" width="10.85546875" style="1" customWidth="1"/>
    <col min="10998" max="10998" width="9.7109375" style="1" customWidth="1"/>
    <col min="10999" max="10999" width="12.85546875" style="1" customWidth="1"/>
    <col min="11000" max="11240" width="11.5703125" style="1"/>
    <col min="11241" max="11241" width="4.5703125" style="1" customWidth="1"/>
    <col min="11242" max="11242" width="29.140625" style="1" customWidth="1"/>
    <col min="11243" max="11243" width="14.140625" style="1" customWidth="1"/>
    <col min="11244" max="11244" width="11.5703125" style="1"/>
    <col min="11245" max="11245" width="10" style="1" customWidth="1"/>
    <col min="11246" max="11246" width="19.85546875" style="1" customWidth="1"/>
    <col min="11247" max="11247" width="12.28515625" style="1" customWidth="1"/>
    <col min="11248" max="11248" width="10" style="1" customWidth="1"/>
    <col min="11249" max="11249" width="10.140625" style="1" customWidth="1"/>
    <col min="11250" max="11250" width="10.28515625" style="1" customWidth="1"/>
    <col min="11251" max="11251" width="10.42578125" style="1" customWidth="1"/>
    <col min="11252" max="11253" width="10.85546875" style="1" customWidth="1"/>
    <col min="11254" max="11254" width="9.7109375" style="1" customWidth="1"/>
    <col min="11255" max="11255" width="12.85546875" style="1" customWidth="1"/>
    <col min="11256" max="11496" width="11.5703125" style="1"/>
    <col min="11497" max="11497" width="4.5703125" style="1" customWidth="1"/>
    <col min="11498" max="11498" width="29.140625" style="1" customWidth="1"/>
    <col min="11499" max="11499" width="14.140625" style="1" customWidth="1"/>
    <col min="11500" max="11500" width="11.5703125" style="1"/>
    <col min="11501" max="11501" width="10" style="1" customWidth="1"/>
    <col min="11502" max="11502" width="19.85546875" style="1" customWidth="1"/>
    <col min="11503" max="11503" width="12.28515625" style="1" customWidth="1"/>
    <col min="11504" max="11504" width="10" style="1" customWidth="1"/>
    <col min="11505" max="11505" width="10.140625" style="1" customWidth="1"/>
    <col min="11506" max="11506" width="10.28515625" style="1" customWidth="1"/>
    <col min="11507" max="11507" width="10.42578125" style="1" customWidth="1"/>
    <col min="11508" max="11509" width="10.85546875" style="1" customWidth="1"/>
    <col min="11510" max="11510" width="9.7109375" style="1" customWidth="1"/>
    <col min="11511" max="11511" width="12.85546875" style="1" customWidth="1"/>
    <col min="11512" max="11752" width="11.5703125" style="1"/>
    <col min="11753" max="11753" width="4.5703125" style="1" customWidth="1"/>
    <col min="11754" max="11754" width="29.140625" style="1" customWidth="1"/>
    <col min="11755" max="11755" width="14.140625" style="1" customWidth="1"/>
    <col min="11756" max="11756" width="11.5703125" style="1"/>
    <col min="11757" max="11757" width="10" style="1" customWidth="1"/>
    <col min="11758" max="11758" width="19.85546875" style="1" customWidth="1"/>
    <col min="11759" max="11759" width="12.28515625" style="1" customWidth="1"/>
    <col min="11760" max="11760" width="10" style="1" customWidth="1"/>
    <col min="11761" max="11761" width="10.140625" style="1" customWidth="1"/>
    <col min="11762" max="11762" width="10.28515625" style="1" customWidth="1"/>
    <col min="11763" max="11763" width="10.42578125" style="1" customWidth="1"/>
    <col min="11764" max="11765" width="10.85546875" style="1" customWidth="1"/>
    <col min="11766" max="11766" width="9.7109375" style="1" customWidth="1"/>
    <col min="11767" max="11767" width="12.85546875" style="1" customWidth="1"/>
    <col min="11768" max="12008" width="11.5703125" style="1"/>
    <col min="12009" max="12009" width="4.5703125" style="1" customWidth="1"/>
    <col min="12010" max="12010" width="29.140625" style="1" customWidth="1"/>
    <col min="12011" max="12011" width="14.140625" style="1" customWidth="1"/>
    <col min="12012" max="12012" width="11.5703125" style="1"/>
    <col min="12013" max="12013" width="10" style="1" customWidth="1"/>
    <col min="12014" max="12014" width="19.85546875" style="1" customWidth="1"/>
    <col min="12015" max="12015" width="12.28515625" style="1" customWidth="1"/>
    <col min="12016" max="12016" width="10" style="1" customWidth="1"/>
    <col min="12017" max="12017" width="10.140625" style="1" customWidth="1"/>
    <col min="12018" max="12018" width="10.28515625" style="1" customWidth="1"/>
    <col min="12019" max="12019" width="10.42578125" style="1" customWidth="1"/>
    <col min="12020" max="12021" width="10.85546875" style="1" customWidth="1"/>
    <col min="12022" max="12022" width="9.7109375" style="1" customWidth="1"/>
    <col min="12023" max="12023" width="12.85546875" style="1" customWidth="1"/>
    <col min="12024" max="12264" width="11.5703125" style="1"/>
    <col min="12265" max="12265" width="4.5703125" style="1" customWidth="1"/>
    <col min="12266" max="12266" width="29.140625" style="1" customWidth="1"/>
    <col min="12267" max="12267" width="14.140625" style="1" customWidth="1"/>
    <col min="12268" max="12268" width="11.5703125" style="1"/>
    <col min="12269" max="12269" width="10" style="1" customWidth="1"/>
    <col min="12270" max="12270" width="19.85546875" style="1" customWidth="1"/>
    <col min="12271" max="12271" width="12.28515625" style="1" customWidth="1"/>
    <col min="12272" max="12272" width="10" style="1" customWidth="1"/>
    <col min="12273" max="12273" width="10.140625" style="1" customWidth="1"/>
    <col min="12274" max="12274" width="10.28515625" style="1" customWidth="1"/>
    <col min="12275" max="12275" width="10.42578125" style="1" customWidth="1"/>
    <col min="12276" max="12277" width="10.85546875" style="1" customWidth="1"/>
    <col min="12278" max="12278" width="9.7109375" style="1" customWidth="1"/>
    <col min="12279" max="12279" width="12.85546875" style="1" customWidth="1"/>
    <col min="12280" max="12520" width="11.5703125" style="1"/>
    <col min="12521" max="12521" width="4.5703125" style="1" customWidth="1"/>
    <col min="12522" max="12522" width="29.140625" style="1" customWidth="1"/>
    <col min="12523" max="12523" width="14.140625" style="1" customWidth="1"/>
    <col min="12524" max="12524" width="11.5703125" style="1"/>
    <col min="12525" max="12525" width="10" style="1" customWidth="1"/>
    <col min="12526" max="12526" width="19.85546875" style="1" customWidth="1"/>
    <col min="12527" max="12527" width="12.28515625" style="1" customWidth="1"/>
    <col min="12528" max="12528" width="10" style="1" customWidth="1"/>
    <col min="12529" max="12529" width="10.140625" style="1" customWidth="1"/>
    <col min="12530" max="12530" width="10.28515625" style="1" customWidth="1"/>
    <col min="12531" max="12531" width="10.42578125" style="1" customWidth="1"/>
    <col min="12532" max="12533" width="10.85546875" style="1" customWidth="1"/>
    <col min="12534" max="12534" width="9.7109375" style="1" customWidth="1"/>
    <col min="12535" max="12535" width="12.85546875" style="1" customWidth="1"/>
    <col min="12536" max="12776" width="11.5703125" style="1"/>
    <col min="12777" max="12777" width="4.5703125" style="1" customWidth="1"/>
    <col min="12778" max="12778" width="29.140625" style="1" customWidth="1"/>
    <col min="12779" max="12779" width="14.140625" style="1" customWidth="1"/>
    <col min="12780" max="12780" width="11.5703125" style="1"/>
    <col min="12781" max="12781" width="10" style="1" customWidth="1"/>
    <col min="12782" max="12782" width="19.85546875" style="1" customWidth="1"/>
    <col min="12783" max="12783" width="12.28515625" style="1" customWidth="1"/>
    <col min="12784" max="12784" width="10" style="1" customWidth="1"/>
    <col min="12785" max="12785" width="10.140625" style="1" customWidth="1"/>
    <col min="12786" max="12786" width="10.28515625" style="1" customWidth="1"/>
    <col min="12787" max="12787" width="10.42578125" style="1" customWidth="1"/>
    <col min="12788" max="12789" width="10.85546875" style="1" customWidth="1"/>
    <col min="12790" max="12790" width="9.7109375" style="1" customWidth="1"/>
    <col min="12791" max="12791" width="12.85546875" style="1" customWidth="1"/>
    <col min="12792" max="13032" width="11.5703125" style="1"/>
    <col min="13033" max="13033" width="4.5703125" style="1" customWidth="1"/>
    <col min="13034" max="13034" width="29.140625" style="1" customWidth="1"/>
    <col min="13035" max="13035" width="14.140625" style="1" customWidth="1"/>
    <col min="13036" max="13036" width="11.5703125" style="1"/>
    <col min="13037" max="13037" width="10" style="1" customWidth="1"/>
    <col min="13038" max="13038" width="19.85546875" style="1" customWidth="1"/>
    <col min="13039" max="13039" width="12.28515625" style="1" customWidth="1"/>
    <col min="13040" max="13040" width="10" style="1" customWidth="1"/>
    <col min="13041" max="13041" width="10.140625" style="1" customWidth="1"/>
    <col min="13042" max="13042" width="10.28515625" style="1" customWidth="1"/>
    <col min="13043" max="13043" width="10.42578125" style="1" customWidth="1"/>
    <col min="13044" max="13045" width="10.85546875" style="1" customWidth="1"/>
    <col min="13046" max="13046" width="9.7109375" style="1" customWidth="1"/>
    <col min="13047" max="13047" width="12.85546875" style="1" customWidth="1"/>
    <col min="13048" max="13288" width="11.5703125" style="1"/>
    <col min="13289" max="13289" width="4.5703125" style="1" customWidth="1"/>
    <col min="13290" max="13290" width="29.140625" style="1" customWidth="1"/>
    <col min="13291" max="13291" width="14.140625" style="1" customWidth="1"/>
    <col min="13292" max="13292" width="11.5703125" style="1"/>
    <col min="13293" max="13293" width="10" style="1" customWidth="1"/>
    <col min="13294" max="13294" width="19.85546875" style="1" customWidth="1"/>
    <col min="13295" max="13295" width="12.28515625" style="1" customWidth="1"/>
    <col min="13296" max="13296" width="10" style="1" customWidth="1"/>
    <col min="13297" max="13297" width="10.140625" style="1" customWidth="1"/>
    <col min="13298" max="13298" width="10.28515625" style="1" customWidth="1"/>
    <col min="13299" max="13299" width="10.42578125" style="1" customWidth="1"/>
    <col min="13300" max="13301" width="10.85546875" style="1" customWidth="1"/>
    <col min="13302" max="13302" width="9.7109375" style="1" customWidth="1"/>
    <col min="13303" max="13303" width="12.85546875" style="1" customWidth="1"/>
    <col min="13304" max="13544" width="11.5703125" style="1"/>
    <col min="13545" max="13545" width="4.5703125" style="1" customWidth="1"/>
    <col min="13546" max="13546" width="29.140625" style="1" customWidth="1"/>
    <col min="13547" max="13547" width="14.140625" style="1" customWidth="1"/>
    <col min="13548" max="13548" width="11.5703125" style="1"/>
    <col min="13549" max="13549" width="10" style="1" customWidth="1"/>
    <col min="13550" max="13550" width="19.85546875" style="1" customWidth="1"/>
    <col min="13551" max="13551" width="12.28515625" style="1" customWidth="1"/>
    <col min="13552" max="13552" width="10" style="1" customWidth="1"/>
    <col min="13553" max="13553" width="10.140625" style="1" customWidth="1"/>
    <col min="13554" max="13554" width="10.28515625" style="1" customWidth="1"/>
    <col min="13555" max="13555" width="10.42578125" style="1" customWidth="1"/>
    <col min="13556" max="13557" width="10.85546875" style="1" customWidth="1"/>
    <col min="13558" max="13558" width="9.7109375" style="1" customWidth="1"/>
    <col min="13559" max="13559" width="12.85546875" style="1" customWidth="1"/>
    <col min="13560" max="13800" width="11.5703125" style="1"/>
    <col min="13801" max="13801" width="4.5703125" style="1" customWidth="1"/>
    <col min="13802" max="13802" width="29.140625" style="1" customWidth="1"/>
    <col min="13803" max="13803" width="14.140625" style="1" customWidth="1"/>
    <col min="13804" max="13804" width="11.5703125" style="1"/>
    <col min="13805" max="13805" width="10" style="1" customWidth="1"/>
    <col min="13806" max="13806" width="19.85546875" style="1" customWidth="1"/>
    <col min="13807" max="13807" width="12.28515625" style="1" customWidth="1"/>
    <col min="13808" max="13808" width="10" style="1" customWidth="1"/>
    <col min="13809" max="13809" width="10.140625" style="1" customWidth="1"/>
    <col min="13810" max="13810" width="10.28515625" style="1" customWidth="1"/>
    <col min="13811" max="13811" width="10.42578125" style="1" customWidth="1"/>
    <col min="13812" max="13813" width="10.85546875" style="1" customWidth="1"/>
    <col min="13814" max="13814" width="9.7109375" style="1" customWidth="1"/>
    <col min="13815" max="13815" width="12.85546875" style="1" customWidth="1"/>
    <col min="13816" max="14056" width="11.5703125" style="1"/>
    <col min="14057" max="14057" width="4.5703125" style="1" customWidth="1"/>
    <col min="14058" max="14058" width="29.140625" style="1" customWidth="1"/>
    <col min="14059" max="14059" width="14.140625" style="1" customWidth="1"/>
    <col min="14060" max="14060" width="11.5703125" style="1"/>
    <col min="14061" max="14061" width="10" style="1" customWidth="1"/>
    <col min="14062" max="14062" width="19.85546875" style="1" customWidth="1"/>
    <col min="14063" max="14063" width="12.28515625" style="1" customWidth="1"/>
    <col min="14064" max="14064" width="10" style="1" customWidth="1"/>
    <col min="14065" max="14065" width="10.140625" style="1" customWidth="1"/>
    <col min="14066" max="14066" width="10.28515625" style="1" customWidth="1"/>
    <col min="14067" max="14067" width="10.42578125" style="1" customWidth="1"/>
    <col min="14068" max="14069" width="10.85546875" style="1" customWidth="1"/>
    <col min="14070" max="14070" width="9.7109375" style="1" customWidth="1"/>
    <col min="14071" max="14071" width="12.85546875" style="1" customWidth="1"/>
    <col min="14072" max="14312" width="11.5703125" style="1"/>
    <col min="14313" max="14313" width="4.5703125" style="1" customWidth="1"/>
    <col min="14314" max="14314" width="29.140625" style="1" customWidth="1"/>
    <col min="14315" max="14315" width="14.140625" style="1" customWidth="1"/>
    <col min="14316" max="14316" width="11.5703125" style="1"/>
    <col min="14317" max="14317" width="10" style="1" customWidth="1"/>
    <col min="14318" max="14318" width="19.85546875" style="1" customWidth="1"/>
    <col min="14319" max="14319" width="12.28515625" style="1" customWidth="1"/>
    <col min="14320" max="14320" width="10" style="1" customWidth="1"/>
    <col min="14321" max="14321" width="10.140625" style="1" customWidth="1"/>
    <col min="14322" max="14322" width="10.28515625" style="1" customWidth="1"/>
    <col min="14323" max="14323" width="10.42578125" style="1" customWidth="1"/>
    <col min="14324" max="14325" width="10.85546875" style="1" customWidth="1"/>
    <col min="14326" max="14326" width="9.7109375" style="1" customWidth="1"/>
    <col min="14327" max="14327" width="12.85546875" style="1" customWidth="1"/>
    <col min="14328" max="14568" width="11.5703125" style="1"/>
    <col min="14569" max="14569" width="4.5703125" style="1" customWidth="1"/>
    <col min="14570" max="14570" width="29.140625" style="1" customWidth="1"/>
    <col min="14571" max="14571" width="14.140625" style="1" customWidth="1"/>
    <col min="14572" max="14572" width="11.5703125" style="1"/>
    <col min="14573" max="14573" width="10" style="1" customWidth="1"/>
    <col min="14574" max="14574" width="19.85546875" style="1" customWidth="1"/>
    <col min="14575" max="14575" width="12.28515625" style="1" customWidth="1"/>
    <col min="14576" max="14576" width="10" style="1" customWidth="1"/>
    <col min="14577" max="14577" width="10.140625" style="1" customWidth="1"/>
    <col min="14578" max="14578" width="10.28515625" style="1" customWidth="1"/>
    <col min="14579" max="14579" width="10.42578125" style="1" customWidth="1"/>
    <col min="14580" max="14581" width="10.85546875" style="1" customWidth="1"/>
    <col min="14582" max="14582" width="9.7109375" style="1" customWidth="1"/>
    <col min="14583" max="14583" width="12.85546875" style="1" customWidth="1"/>
    <col min="14584" max="14824" width="11.5703125" style="1"/>
    <col min="14825" max="14825" width="4.5703125" style="1" customWidth="1"/>
    <col min="14826" max="14826" width="29.140625" style="1" customWidth="1"/>
    <col min="14827" max="14827" width="14.140625" style="1" customWidth="1"/>
    <col min="14828" max="14828" width="11.5703125" style="1"/>
    <col min="14829" max="14829" width="10" style="1" customWidth="1"/>
    <col min="14830" max="14830" width="19.85546875" style="1" customWidth="1"/>
    <col min="14831" max="14831" width="12.28515625" style="1" customWidth="1"/>
    <col min="14832" max="14832" width="10" style="1" customWidth="1"/>
    <col min="14833" max="14833" width="10.140625" style="1" customWidth="1"/>
    <col min="14834" max="14834" width="10.28515625" style="1" customWidth="1"/>
    <col min="14835" max="14835" width="10.42578125" style="1" customWidth="1"/>
    <col min="14836" max="14837" width="10.85546875" style="1" customWidth="1"/>
    <col min="14838" max="14838" width="9.7109375" style="1" customWidth="1"/>
    <col min="14839" max="14839" width="12.85546875" style="1" customWidth="1"/>
    <col min="14840" max="15080" width="11.5703125" style="1"/>
    <col min="15081" max="15081" width="4.5703125" style="1" customWidth="1"/>
    <col min="15082" max="15082" width="29.140625" style="1" customWidth="1"/>
    <col min="15083" max="15083" width="14.140625" style="1" customWidth="1"/>
    <col min="15084" max="15084" width="11.5703125" style="1"/>
    <col min="15085" max="15085" width="10" style="1" customWidth="1"/>
    <col min="15086" max="15086" width="19.85546875" style="1" customWidth="1"/>
    <col min="15087" max="15087" width="12.28515625" style="1" customWidth="1"/>
    <col min="15088" max="15088" width="10" style="1" customWidth="1"/>
    <col min="15089" max="15089" width="10.140625" style="1" customWidth="1"/>
    <col min="15090" max="15090" width="10.28515625" style="1" customWidth="1"/>
    <col min="15091" max="15091" width="10.42578125" style="1" customWidth="1"/>
    <col min="15092" max="15093" width="10.85546875" style="1" customWidth="1"/>
    <col min="15094" max="15094" width="9.7109375" style="1" customWidth="1"/>
    <col min="15095" max="15095" width="12.85546875" style="1" customWidth="1"/>
    <col min="15096" max="15336" width="11.5703125" style="1"/>
    <col min="15337" max="15337" width="4.5703125" style="1" customWidth="1"/>
    <col min="15338" max="15338" width="29.140625" style="1" customWidth="1"/>
    <col min="15339" max="15339" width="14.140625" style="1" customWidth="1"/>
    <col min="15340" max="15340" width="11.5703125" style="1"/>
    <col min="15341" max="15341" width="10" style="1" customWidth="1"/>
    <col min="15342" max="15342" width="19.85546875" style="1" customWidth="1"/>
    <col min="15343" max="15343" width="12.28515625" style="1" customWidth="1"/>
    <col min="15344" max="15344" width="10" style="1" customWidth="1"/>
    <col min="15345" max="15345" width="10.140625" style="1" customWidth="1"/>
    <col min="15346" max="15346" width="10.28515625" style="1" customWidth="1"/>
    <col min="15347" max="15347" width="10.42578125" style="1" customWidth="1"/>
    <col min="15348" max="15349" width="10.85546875" style="1" customWidth="1"/>
    <col min="15350" max="15350" width="9.7109375" style="1" customWidth="1"/>
    <col min="15351" max="15351" width="12.85546875" style="1" customWidth="1"/>
    <col min="15352" max="15592" width="11.5703125" style="1"/>
    <col min="15593" max="15593" width="4.5703125" style="1" customWidth="1"/>
    <col min="15594" max="15594" width="29.140625" style="1" customWidth="1"/>
    <col min="15595" max="15595" width="14.140625" style="1" customWidth="1"/>
    <col min="15596" max="15596" width="11.5703125" style="1"/>
    <col min="15597" max="15597" width="10" style="1" customWidth="1"/>
    <col min="15598" max="15598" width="19.85546875" style="1" customWidth="1"/>
    <col min="15599" max="15599" width="12.28515625" style="1" customWidth="1"/>
    <col min="15600" max="15600" width="10" style="1" customWidth="1"/>
    <col min="15601" max="15601" width="10.140625" style="1" customWidth="1"/>
    <col min="15602" max="15602" width="10.28515625" style="1" customWidth="1"/>
    <col min="15603" max="15603" width="10.42578125" style="1" customWidth="1"/>
    <col min="15604" max="15605" width="10.85546875" style="1" customWidth="1"/>
    <col min="15606" max="15606" width="9.7109375" style="1" customWidth="1"/>
    <col min="15607" max="15607" width="12.85546875" style="1" customWidth="1"/>
    <col min="15608" max="15848" width="11.5703125" style="1"/>
    <col min="15849" max="15849" width="4.5703125" style="1" customWidth="1"/>
    <col min="15850" max="15850" width="29.140625" style="1" customWidth="1"/>
    <col min="15851" max="15851" width="14.140625" style="1" customWidth="1"/>
    <col min="15852" max="15852" width="11.5703125" style="1"/>
    <col min="15853" max="15853" width="10" style="1" customWidth="1"/>
    <col min="15854" max="15854" width="19.85546875" style="1" customWidth="1"/>
    <col min="15855" max="15855" width="12.28515625" style="1" customWidth="1"/>
    <col min="15856" max="15856" width="10" style="1" customWidth="1"/>
    <col min="15857" max="15857" width="10.140625" style="1" customWidth="1"/>
    <col min="15858" max="15858" width="10.28515625" style="1" customWidth="1"/>
    <col min="15859" max="15859" width="10.42578125" style="1" customWidth="1"/>
    <col min="15860" max="15861" width="10.85546875" style="1" customWidth="1"/>
    <col min="15862" max="15862" width="9.7109375" style="1" customWidth="1"/>
    <col min="15863" max="15863" width="12.85546875" style="1" customWidth="1"/>
    <col min="15864" max="16104" width="11.5703125" style="1"/>
    <col min="16105" max="16105" width="4.5703125" style="1" customWidth="1"/>
    <col min="16106" max="16106" width="29.140625" style="1" customWidth="1"/>
    <col min="16107" max="16107" width="14.140625" style="1" customWidth="1"/>
    <col min="16108" max="16108" width="11.5703125" style="1"/>
    <col min="16109" max="16109" width="10" style="1" customWidth="1"/>
    <col min="16110" max="16110" width="19.85546875" style="1" customWidth="1"/>
    <col min="16111" max="16111" width="12.28515625" style="1" customWidth="1"/>
    <col min="16112" max="16112" width="10" style="1" customWidth="1"/>
    <col min="16113" max="16113" width="10.140625" style="1" customWidth="1"/>
    <col min="16114" max="16114" width="10.28515625" style="1" customWidth="1"/>
    <col min="16115" max="16115" width="10.42578125" style="1" customWidth="1"/>
    <col min="16116" max="16117" width="10.85546875" style="1" customWidth="1"/>
    <col min="16118" max="16118" width="9.7109375" style="1" customWidth="1"/>
    <col min="16119" max="16119" width="12.85546875" style="1" customWidth="1"/>
    <col min="16120" max="16384" width="11.5703125" style="1"/>
  </cols>
  <sheetData>
    <row r="1" spans="1:34" ht="59.25" customHeight="1" x14ac:dyDescent="0.25">
      <c r="G1" s="2"/>
      <c r="H1" s="2"/>
      <c r="I1" s="3"/>
      <c r="J1" s="4"/>
      <c r="K1" s="4"/>
      <c r="L1" s="4"/>
      <c r="M1" s="175" t="s">
        <v>0</v>
      </c>
      <c r="N1" s="175"/>
      <c r="O1" s="175"/>
      <c r="P1" s="175"/>
      <c r="Q1" s="175"/>
      <c r="R1" s="175"/>
      <c r="S1" s="146"/>
      <c r="U1" s="5"/>
    </row>
    <row r="2" spans="1:34" ht="25.5" customHeight="1" x14ac:dyDescent="0.25">
      <c r="G2" s="6"/>
      <c r="H2" s="6"/>
      <c r="I2" s="6"/>
      <c r="J2" s="6"/>
      <c r="K2" s="6"/>
      <c r="L2" s="6"/>
      <c r="U2" s="5"/>
    </row>
    <row r="3" spans="1:34" ht="35.25" customHeight="1" x14ac:dyDescent="0.3">
      <c r="A3" s="176" t="s">
        <v>1</v>
      </c>
      <c r="B3" s="176"/>
      <c r="C3" s="176"/>
      <c r="D3" s="176"/>
      <c r="E3" s="176"/>
      <c r="F3" s="176"/>
      <c r="G3" s="176"/>
      <c r="H3" s="176"/>
      <c r="I3" s="176"/>
      <c r="J3" s="176"/>
      <c r="K3" s="176"/>
      <c r="L3" s="176"/>
      <c r="M3" s="176"/>
      <c r="N3" s="176"/>
      <c r="O3" s="176"/>
      <c r="P3" s="176"/>
      <c r="Q3" s="7"/>
      <c r="R3" s="7"/>
      <c r="S3" s="7"/>
      <c r="U3" s="5"/>
    </row>
    <row r="4" spans="1:34" ht="42.75" customHeight="1" x14ac:dyDescent="0.25">
      <c r="A4" s="177" t="s">
        <v>2</v>
      </c>
      <c r="B4" s="177"/>
      <c r="C4" s="177"/>
      <c r="D4" s="177"/>
      <c r="E4" s="177"/>
      <c r="F4" s="177"/>
      <c r="G4" s="177"/>
      <c r="H4" s="177"/>
      <c r="I4" s="178"/>
      <c r="J4" s="178"/>
      <c r="K4" s="178"/>
      <c r="L4" s="178"/>
      <c r="M4" s="178"/>
      <c r="N4" s="178"/>
      <c r="O4" s="178"/>
      <c r="P4" s="178"/>
      <c r="Q4" s="178"/>
      <c r="R4" s="178"/>
      <c r="S4" s="147"/>
    </row>
    <row r="5" spans="1:34" s="8" customFormat="1" ht="22.5" customHeight="1" x14ac:dyDescent="0.25">
      <c r="A5" s="171" t="s">
        <v>3</v>
      </c>
      <c r="B5" s="171" t="s">
        <v>4</v>
      </c>
      <c r="C5" s="171" t="s">
        <v>5</v>
      </c>
      <c r="D5" s="171" t="s">
        <v>6</v>
      </c>
      <c r="E5" s="168" t="s">
        <v>7</v>
      </c>
      <c r="F5" s="168"/>
      <c r="G5" s="168"/>
      <c r="H5" s="168"/>
      <c r="I5" s="179" t="s">
        <v>8</v>
      </c>
      <c r="J5" s="180"/>
      <c r="K5" s="180"/>
      <c r="L5" s="180"/>
      <c r="M5" s="180"/>
      <c r="N5" s="180"/>
      <c r="O5" s="180"/>
      <c r="P5" s="180"/>
      <c r="Q5" s="180"/>
      <c r="R5" s="180"/>
      <c r="S5" s="180"/>
      <c r="T5" s="180"/>
      <c r="U5" s="181"/>
      <c r="V5" s="1"/>
      <c r="W5" s="1"/>
      <c r="X5" s="1"/>
      <c r="Y5" s="1"/>
      <c r="Z5" s="1"/>
      <c r="AA5" s="1"/>
      <c r="AB5" s="1"/>
      <c r="AC5" s="1"/>
      <c r="AD5" s="1"/>
      <c r="AE5" s="1"/>
      <c r="AF5" s="1"/>
      <c r="AG5" s="1"/>
      <c r="AH5" s="1"/>
    </row>
    <row r="6" spans="1:34" s="8" customFormat="1" ht="35.25" customHeight="1" x14ac:dyDescent="0.25">
      <c r="A6" s="172"/>
      <c r="B6" s="172"/>
      <c r="C6" s="172"/>
      <c r="D6" s="172"/>
      <c r="E6" s="142"/>
      <c r="F6" s="142" t="s">
        <v>9</v>
      </c>
      <c r="G6" s="142" t="s">
        <v>10</v>
      </c>
      <c r="H6" s="142" t="s">
        <v>11</v>
      </c>
      <c r="I6" s="142" t="s">
        <v>12</v>
      </c>
      <c r="J6" s="10" t="s">
        <v>13</v>
      </c>
      <c r="K6" s="10" t="s">
        <v>14</v>
      </c>
      <c r="L6" s="142" t="s">
        <v>15</v>
      </c>
      <c r="M6" s="11" t="s">
        <v>16</v>
      </c>
      <c r="N6" s="11" t="s">
        <v>17</v>
      </c>
      <c r="O6" s="11" t="s">
        <v>18</v>
      </c>
      <c r="P6" s="11" t="s">
        <v>19</v>
      </c>
      <c r="Q6" s="11" t="s">
        <v>20</v>
      </c>
      <c r="R6" s="11" t="s">
        <v>21</v>
      </c>
      <c r="S6" s="11">
        <v>2025</v>
      </c>
      <c r="T6" s="11">
        <v>2026</v>
      </c>
      <c r="U6" s="11">
        <v>2027</v>
      </c>
      <c r="V6" s="1"/>
      <c r="W6" s="1"/>
      <c r="X6" s="1"/>
      <c r="Y6" s="1"/>
      <c r="Z6" s="1"/>
      <c r="AA6" s="1"/>
      <c r="AB6" s="1"/>
      <c r="AC6" s="1"/>
      <c r="AD6" s="1"/>
      <c r="AE6" s="1"/>
      <c r="AF6" s="1"/>
      <c r="AG6" s="1"/>
      <c r="AH6" s="1"/>
    </row>
    <row r="7" spans="1:34" s="8" customFormat="1" ht="16.5" customHeight="1" x14ac:dyDescent="0.25">
      <c r="A7" s="136">
        <v>1</v>
      </c>
      <c r="B7" s="142">
        <v>2</v>
      </c>
      <c r="C7" s="142">
        <v>3</v>
      </c>
      <c r="D7" s="142">
        <v>4</v>
      </c>
      <c r="E7" s="142">
        <v>5</v>
      </c>
      <c r="F7" s="142">
        <v>6</v>
      </c>
      <c r="G7" s="142">
        <v>7</v>
      </c>
      <c r="H7" s="142">
        <v>8</v>
      </c>
      <c r="I7" s="142">
        <v>9</v>
      </c>
      <c r="J7" s="142">
        <v>10</v>
      </c>
      <c r="K7" s="142">
        <v>11</v>
      </c>
      <c r="L7" s="142">
        <v>12</v>
      </c>
      <c r="M7" s="11">
        <v>13</v>
      </c>
      <c r="N7" s="12">
        <v>14</v>
      </c>
      <c r="O7" s="11">
        <v>15</v>
      </c>
      <c r="P7" s="11">
        <v>16</v>
      </c>
      <c r="Q7" s="11">
        <v>17</v>
      </c>
      <c r="R7" s="11">
        <v>18</v>
      </c>
      <c r="S7" s="11">
        <v>19</v>
      </c>
      <c r="T7" s="11">
        <v>20</v>
      </c>
      <c r="U7" s="11">
        <v>21</v>
      </c>
      <c r="V7" s="1"/>
      <c r="W7" s="1"/>
      <c r="X7" s="1"/>
      <c r="Y7" s="1"/>
      <c r="Z7" s="1"/>
      <c r="AA7" s="1"/>
      <c r="AB7" s="1"/>
      <c r="AC7" s="1"/>
      <c r="AD7" s="1"/>
      <c r="AE7" s="1"/>
      <c r="AF7" s="1"/>
      <c r="AG7" s="1"/>
      <c r="AH7" s="1"/>
    </row>
    <row r="8" spans="1:34" s="8" customFormat="1" ht="27" customHeight="1" x14ac:dyDescent="0.25">
      <c r="A8" s="138">
        <v>1</v>
      </c>
      <c r="B8" s="165" t="s">
        <v>22</v>
      </c>
      <c r="C8" s="166"/>
      <c r="D8" s="166"/>
      <c r="E8" s="166"/>
      <c r="F8" s="166"/>
      <c r="G8" s="166"/>
      <c r="H8" s="166"/>
      <c r="I8" s="166"/>
      <c r="J8" s="166"/>
      <c r="K8" s="166"/>
      <c r="L8" s="166"/>
      <c r="M8" s="166"/>
      <c r="N8" s="166"/>
      <c r="O8" s="166"/>
      <c r="P8" s="166"/>
      <c r="Q8" s="166"/>
      <c r="R8" s="166"/>
      <c r="S8" s="166"/>
      <c r="T8" s="167"/>
      <c r="V8" s="1"/>
      <c r="W8" s="1"/>
      <c r="X8" s="1"/>
      <c r="Y8" s="1"/>
      <c r="Z8" s="1"/>
      <c r="AA8" s="1"/>
      <c r="AB8" s="1"/>
      <c r="AC8" s="1"/>
      <c r="AD8" s="1"/>
      <c r="AE8" s="1"/>
      <c r="AF8" s="1"/>
      <c r="AG8" s="1"/>
      <c r="AH8" s="1"/>
    </row>
    <row r="9" spans="1:34" s="8" customFormat="1" ht="57" customHeight="1" x14ac:dyDescent="0.25">
      <c r="A9" s="168">
        <v>2</v>
      </c>
      <c r="B9" s="169" t="s">
        <v>23</v>
      </c>
      <c r="C9" s="170" t="s">
        <v>24</v>
      </c>
      <c r="D9" s="148" t="s">
        <v>25</v>
      </c>
      <c r="E9" s="148" t="s">
        <v>26</v>
      </c>
      <c r="F9" s="148" t="s">
        <v>26</v>
      </c>
      <c r="G9" s="148" t="s">
        <v>26</v>
      </c>
      <c r="H9" s="148" t="s">
        <v>26</v>
      </c>
      <c r="I9" s="13">
        <f t="shared" ref="I9:I13" si="0">SUM(J9:T9)</f>
        <v>5995398526.1600008</v>
      </c>
      <c r="J9" s="13">
        <f t="shared" ref="J9:P9" si="1">J12+J21+J30+J28+J36+J42</f>
        <v>384505850.44</v>
      </c>
      <c r="K9" s="13">
        <f t="shared" si="1"/>
        <v>439151691.36000001</v>
      </c>
      <c r="L9" s="13">
        <f t="shared" si="1"/>
        <v>478637326.44999999</v>
      </c>
      <c r="M9" s="13">
        <f t="shared" si="1"/>
        <v>551321512.23000002</v>
      </c>
      <c r="N9" s="13">
        <f t="shared" si="1"/>
        <v>878942406.91000009</v>
      </c>
      <c r="O9" s="13">
        <f t="shared" si="1"/>
        <v>540108064.11000001</v>
      </c>
      <c r="P9" s="14">
        <f t="shared" si="1"/>
        <v>447307547.72000003</v>
      </c>
      <c r="Q9" s="14">
        <f>Q12+Q21+Q30+Q28+Q36+Q42</f>
        <v>591471258.55999994</v>
      </c>
      <c r="R9" s="14">
        <f>R12+R21+R30+R28+R36+R42</f>
        <v>646867390.91999996</v>
      </c>
      <c r="S9" s="14">
        <f t="shared" ref="S9:U9" si="2">S12+S21+S30+S28+S36+S42</f>
        <v>531346485.03000003</v>
      </c>
      <c r="T9" s="14">
        <f t="shared" si="2"/>
        <v>505738992.43000001</v>
      </c>
      <c r="U9" s="14">
        <f t="shared" si="2"/>
        <v>505809868.35000002</v>
      </c>
      <c r="V9" s="1"/>
      <c r="W9" s="1"/>
      <c r="X9" s="5"/>
      <c r="Y9" s="1"/>
      <c r="Z9" s="1"/>
      <c r="AA9" s="1"/>
      <c r="AB9" s="1"/>
      <c r="AC9" s="1"/>
      <c r="AD9" s="1"/>
      <c r="AE9" s="1"/>
      <c r="AF9" s="1"/>
      <c r="AG9" s="1"/>
      <c r="AH9" s="1"/>
    </row>
    <row r="10" spans="1:34" s="8" customFormat="1" ht="54.75" customHeight="1" x14ac:dyDescent="0.25">
      <c r="A10" s="168"/>
      <c r="B10" s="169"/>
      <c r="C10" s="170"/>
      <c r="D10" s="148" t="s">
        <v>27</v>
      </c>
      <c r="E10" s="148" t="s">
        <v>26</v>
      </c>
      <c r="F10" s="148" t="s">
        <v>26</v>
      </c>
      <c r="G10" s="148" t="s">
        <v>26</v>
      </c>
      <c r="H10" s="148" t="s">
        <v>26</v>
      </c>
      <c r="I10" s="13">
        <f t="shared" si="0"/>
        <v>1265239064.8299999</v>
      </c>
      <c r="J10" s="13">
        <f t="shared" ref="J10:Q10" si="3">J17+J78+J82+J39+J73+J20+J121</f>
        <v>6205500</v>
      </c>
      <c r="K10" s="13">
        <f t="shared" si="3"/>
        <v>44705596.890000001</v>
      </c>
      <c r="L10" s="13">
        <f t="shared" si="3"/>
        <v>8111483.2999999998</v>
      </c>
      <c r="M10" s="13">
        <f t="shared" si="3"/>
        <v>494801684</v>
      </c>
      <c r="N10" s="13">
        <f t="shared" si="3"/>
        <v>39020065.890000001</v>
      </c>
      <c r="O10" s="13">
        <f t="shared" si="3"/>
        <v>41508378.030000001</v>
      </c>
      <c r="P10" s="14">
        <f t="shared" si="3"/>
        <v>66189474.439999998</v>
      </c>
      <c r="Q10" s="14">
        <f t="shared" si="3"/>
        <v>113353954.48999999</v>
      </c>
      <c r="R10" s="14">
        <f>R17+R78+R82+R39+R73+R20+R121+R101</f>
        <v>191681827.78999999</v>
      </c>
      <c r="S10" s="14">
        <f t="shared" ref="S10:U10" si="4">S17+S78+S82+S39+S73+S20+S121+S101</f>
        <v>162154900</v>
      </c>
      <c r="T10" s="14">
        <f t="shared" si="4"/>
        <v>97506200</v>
      </c>
      <c r="U10" s="14">
        <f t="shared" si="4"/>
        <v>97506200</v>
      </c>
      <c r="V10" s="1"/>
      <c r="W10" s="1"/>
      <c r="X10" s="1"/>
      <c r="Y10" s="1"/>
      <c r="Z10" s="1"/>
      <c r="AA10" s="1"/>
      <c r="AB10" s="1"/>
      <c r="AC10" s="1"/>
      <c r="AD10" s="1"/>
      <c r="AE10" s="1"/>
      <c r="AF10" s="1"/>
      <c r="AG10" s="1"/>
      <c r="AH10" s="1"/>
    </row>
    <row r="11" spans="1:34" s="8" customFormat="1" ht="131.25" customHeight="1" x14ac:dyDescent="0.25">
      <c r="A11" s="168"/>
      <c r="B11" s="169"/>
      <c r="C11" s="170"/>
      <c r="D11" s="148" t="s">
        <v>28</v>
      </c>
      <c r="E11" s="148" t="s">
        <v>26</v>
      </c>
      <c r="F11" s="148" t="s">
        <v>26</v>
      </c>
      <c r="G11" s="148" t="s">
        <v>26</v>
      </c>
      <c r="H11" s="148" t="s">
        <v>26</v>
      </c>
      <c r="I11" s="13">
        <f t="shared" si="0"/>
        <v>152440602</v>
      </c>
      <c r="J11" s="13">
        <v>0</v>
      </c>
      <c r="K11" s="13">
        <f>K146</f>
        <v>100438120</v>
      </c>
      <c r="L11" s="13">
        <v>0</v>
      </c>
      <c r="M11" s="15">
        <v>0</v>
      </c>
      <c r="N11" s="15">
        <f>N74</f>
        <v>493882</v>
      </c>
      <c r="O11" s="15">
        <f t="shared" ref="O11:U11" si="5">O74</f>
        <v>0</v>
      </c>
      <c r="P11" s="15">
        <f t="shared" si="5"/>
        <v>0</v>
      </c>
      <c r="Q11" s="15">
        <f t="shared" si="5"/>
        <v>0</v>
      </c>
      <c r="R11" s="15">
        <f>R32</f>
        <v>36958600</v>
      </c>
      <c r="S11" s="15">
        <f>S32</f>
        <v>14550000</v>
      </c>
      <c r="T11" s="15">
        <f t="shared" ref="T11" si="6">T32</f>
        <v>0</v>
      </c>
      <c r="U11" s="15">
        <f t="shared" si="5"/>
        <v>0</v>
      </c>
      <c r="V11" s="1"/>
      <c r="W11" s="1"/>
      <c r="X11" s="1"/>
      <c r="Y11" s="1"/>
      <c r="Z11" s="1"/>
      <c r="AA11" s="1"/>
      <c r="AB11" s="1"/>
      <c r="AC11" s="1"/>
      <c r="AD11" s="1"/>
      <c r="AE11" s="1"/>
      <c r="AF11" s="1"/>
      <c r="AG11" s="1"/>
      <c r="AH11" s="1"/>
    </row>
    <row r="12" spans="1:34" s="8" customFormat="1" ht="40.5" customHeight="1" x14ac:dyDescent="0.25">
      <c r="A12" s="171">
        <v>3</v>
      </c>
      <c r="B12" s="173" t="s">
        <v>29</v>
      </c>
      <c r="C12" s="173" t="s">
        <v>30</v>
      </c>
      <c r="D12" s="148" t="s">
        <v>25</v>
      </c>
      <c r="E12" s="148" t="s">
        <v>26</v>
      </c>
      <c r="F12" s="148" t="s">
        <v>26</v>
      </c>
      <c r="G12" s="148" t="s">
        <v>26</v>
      </c>
      <c r="H12" s="148" t="s">
        <v>26</v>
      </c>
      <c r="I12" s="13">
        <f t="shared" si="0"/>
        <v>167679836.81</v>
      </c>
      <c r="J12" s="13">
        <f t="shared" ref="J12:U12" si="7">J14</f>
        <v>9533300.5500000007</v>
      </c>
      <c r="K12" s="13">
        <f t="shared" si="7"/>
        <v>13147554.710000001</v>
      </c>
      <c r="L12" s="13">
        <f t="shared" si="7"/>
        <v>12371408.289999999</v>
      </c>
      <c r="M12" s="15">
        <f t="shared" si="7"/>
        <v>15707042.35</v>
      </c>
      <c r="N12" s="15">
        <f t="shared" si="7"/>
        <v>13641133.68</v>
      </c>
      <c r="O12" s="15">
        <f t="shared" si="7"/>
        <v>11747410.130000001</v>
      </c>
      <c r="P12" s="16">
        <f t="shared" si="7"/>
        <v>15415520.540000001</v>
      </c>
      <c r="Q12" s="16">
        <f t="shared" si="7"/>
        <v>12227410</v>
      </c>
      <c r="R12" s="16">
        <f t="shared" si="7"/>
        <v>14260211.939999999</v>
      </c>
      <c r="S12" s="16">
        <f t="shared" si="7"/>
        <v>24814422.309999999</v>
      </c>
      <c r="T12" s="16">
        <f t="shared" si="7"/>
        <v>24814422.309999999</v>
      </c>
      <c r="U12" s="16">
        <f t="shared" si="7"/>
        <v>24814422.309999999</v>
      </c>
      <c r="V12" s="1"/>
      <c r="W12" s="1"/>
      <c r="X12" s="1"/>
      <c r="Y12" s="1"/>
      <c r="Z12" s="1"/>
      <c r="AA12" s="1"/>
      <c r="AB12" s="1"/>
      <c r="AC12" s="1"/>
      <c r="AD12" s="1"/>
      <c r="AE12" s="1"/>
      <c r="AF12" s="1"/>
      <c r="AG12" s="1"/>
      <c r="AH12" s="1"/>
    </row>
    <row r="13" spans="1:34" s="8" customFormat="1" ht="39.75" customHeight="1" x14ac:dyDescent="0.25">
      <c r="A13" s="172"/>
      <c r="B13" s="174"/>
      <c r="C13" s="174"/>
      <c r="D13" s="148" t="s">
        <v>27</v>
      </c>
      <c r="E13" s="148" t="s">
        <v>26</v>
      </c>
      <c r="F13" s="148" t="s">
        <v>26</v>
      </c>
      <c r="G13" s="148" t="s">
        <v>26</v>
      </c>
      <c r="H13" s="148" t="s">
        <v>26</v>
      </c>
      <c r="I13" s="13">
        <f t="shared" si="0"/>
        <v>1117227.6600000001</v>
      </c>
      <c r="J13" s="15">
        <f t="shared" ref="J13:U13" si="8">J17+J20</f>
        <v>0</v>
      </c>
      <c r="K13" s="15">
        <f t="shared" si="8"/>
        <v>0</v>
      </c>
      <c r="L13" s="15">
        <f t="shared" si="8"/>
        <v>0</v>
      </c>
      <c r="M13" s="15">
        <f t="shared" si="8"/>
        <v>0</v>
      </c>
      <c r="N13" s="15">
        <f t="shared" si="8"/>
        <v>400000</v>
      </c>
      <c r="O13" s="15">
        <f t="shared" si="8"/>
        <v>330000</v>
      </c>
      <c r="P13" s="16">
        <f t="shared" si="8"/>
        <v>13927.66</v>
      </c>
      <c r="Q13" s="16">
        <f t="shared" si="8"/>
        <v>292200</v>
      </c>
      <c r="R13" s="16">
        <f t="shared" si="8"/>
        <v>81100</v>
      </c>
      <c r="S13" s="16">
        <f t="shared" si="8"/>
        <v>0</v>
      </c>
      <c r="T13" s="17">
        <f t="shared" si="8"/>
        <v>0</v>
      </c>
      <c r="U13" s="16">
        <f t="shared" si="8"/>
        <v>0</v>
      </c>
      <c r="V13" s="1"/>
      <c r="W13" s="1"/>
      <c r="X13" s="1"/>
      <c r="Y13" s="1"/>
      <c r="Z13" s="1"/>
      <c r="AA13" s="1"/>
      <c r="AB13" s="1"/>
      <c r="AC13" s="1"/>
      <c r="AD13" s="1"/>
      <c r="AE13" s="1"/>
      <c r="AF13" s="1"/>
      <c r="AG13" s="1"/>
      <c r="AH13" s="1"/>
    </row>
    <row r="14" spans="1:34" s="8" customFormat="1" ht="45.75" customHeight="1" x14ac:dyDescent="0.25">
      <c r="A14" s="171">
        <v>4</v>
      </c>
      <c r="B14" s="173" t="s">
        <v>31</v>
      </c>
      <c r="C14" s="173" t="s">
        <v>30</v>
      </c>
      <c r="D14" s="148" t="s">
        <v>25</v>
      </c>
      <c r="E14" s="148" t="s">
        <v>26</v>
      </c>
      <c r="F14" s="148" t="s">
        <v>26</v>
      </c>
      <c r="G14" s="148" t="s">
        <v>26</v>
      </c>
      <c r="H14" s="148" t="s">
        <v>26</v>
      </c>
      <c r="I14" s="13">
        <f>SUM(J14:U14)</f>
        <v>192494259.12</v>
      </c>
      <c r="J14" s="13">
        <f t="shared" ref="J14:U14" si="9">J16+J18</f>
        <v>9533300.5500000007</v>
      </c>
      <c r="K14" s="18">
        <f t="shared" si="9"/>
        <v>13147554.710000001</v>
      </c>
      <c r="L14" s="18">
        <f t="shared" si="9"/>
        <v>12371408.289999999</v>
      </c>
      <c r="M14" s="15">
        <f t="shared" si="9"/>
        <v>15707042.35</v>
      </c>
      <c r="N14" s="15">
        <f t="shared" si="9"/>
        <v>13641133.68</v>
      </c>
      <c r="O14" s="15">
        <f t="shared" si="9"/>
        <v>11747410.130000001</v>
      </c>
      <c r="P14" s="16">
        <f t="shared" si="9"/>
        <v>15415520.540000001</v>
      </c>
      <c r="Q14" s="16">
        <f t="shared" si="9"/>
        <v>12227410</v>
      </c>
      <c r="R14" s="16">
        <f t="shared" si="9"/>
        <v>14260211.939999999</v>
      </c>
      <c r="S14" s="16">
        <f t="shared" si="9"/>
        <v>24814422.309999999</v>
      </c>
      <c r="T14" s="16">
        <f t="shared" si="9"/>
        <v>24814422.309999999</v>
      </c>
      <c r="U14" s="16">
        <f t="shared" si="9"/>
        <v>24814422.309999999</v>
      </c>
      <c r="V14" s="1"/>
      <c r="W14" s="1"/>
      <c r="X14" s="1"/>
      <c r="Y14" s="1"/>
      <c r="Z14" s="1"/>
      <c r="AA14" s="1"/>
      <c r="AB14" s="1"/>
      <c r="AC14" s="1"/>
      <c r="AD14" s="1"/>
      <c r="AE14" s="1"/>
      <c r="AF14" s="1"/>
      <c r="AG14" s="1"/>
      <c r="AH14" s="1"/>
    </row>
    <row r="15" spans="1:34" s="8" customFormat="1" ht="35.25" customHeight="1" x14ac:dyDescent="0.25">
      <c r="A15" s="172"/>
      <c r="B15" s="174"/>
      <c r="C15" s="174"/>
      <c r="D15" s="148" t="s">
        <v>27</v>
      </c>
      <c r="E15" s="148" t="s">
        <v>26</v>
      </c>
      <c r="F15" s="148" t="s">
        <v>26</v>
      </c>
      <c r="G15" s="148" t="s">
        <v>26</v>
      </c>
      <c r="H15" s="148" t="s">
        <v>26</v>
      </c>
      <c r="I15" s="13">
        <f>SUM(J15:U15)</f>
        <v>1117227.6600000001</v>
      </c>
      <c r="J15" s="13">
        <v>0</v>
      </c>
      <c r="K15" s="18">
        <v>0</v>
      </c>
      <c r="L15" s="13">
        <v>0</v>
      </c>
      <c r="M15" s="15">
        <v>0</v>
      </c>
      <c r="N15" s="15">
        <f t="shared" ref="N15:U15" si="10">N17+N20</f>
        <v>400000</v>
      </c>
      <c r="O15" s="15">
        <f t="shared" si="10"/>
        <v>330000</v>
      </c>
      <c r="P15" s="16">
        <f t="shared" si="10"/>
        <v>13927.66</v>
      </c>
      <c r="Q15" s="16">
        <f t="shared" si="10"/>
        <v>292200</v>
      </c>
      <c r="R15" s="16">
        <f t="shared" si="10"/>
        <v>81100</v>
      </c>
      <c r="S15" s="16">
        <f t="shared" si="10"/>
        <v>0</v>
      </c>
      <c r="T15" s="17">
        <f t="shared" si="10"/>
        <v>0</v>
      </c>
      <c r="U15" s="16">
        <f t="shared" si="10"/>
        <v>0</v>
      </c>
      <c r="V15" s="1"/>
      <c r="W15" s="1"/>
      <c r="X15" s="1"/>
      <c r="Y15" s="1"/>
      <c r="Z15" s="1"/>
      <c r="AA15" s="1"/>
      <c r="AB15" s="1"/>
      <c r="AC15" s="1"/>
      <c r="AD15" s="1"/>
      <c r="AE15" s="1"/>
      <c r="AF15" s="1"/>
      <c r="AG15" s="1"/>
      <c r="AH15" s="1"/>
    </row>
    <row r="16" spans="1:34" s="8" customFormat="1" ht="43.5" customHeight="1" x14ac:dyDescent="0.25">
      <c r="A16" s="171">
        <v>5</v>
      </c>
      <c r="B16" s="173" t="s">
        <v>32</v>
      </c>
      <c r="C16" s="173" t="s">
        <v>33</v>
      </c>
      <c r="D16" s="148" t="s">
        <v>25</v>
      </c>
      <c r="E16" s="148" t="s">
        <v>26</v>
      </c>
      <c r="F16" s="148" t="s">
        <v>26</v>
      </c>
      <c r="G16" s="148" t="s">
        <v>26</v>
      </c>
      <c r="H16" s="148" t="s">
        <v>26</v>
      </c>
      <c r="I16" s="13">
        <f t="shared" ref="I16:I22" si="11">SUM(J16:U16)</f>
        <v>189464546.92000002</v>
      </c>
      <c r="J16" s="13">
        <f>5906497.55+597090.8</f>
        <v>6503588.3499999996</v>
      </c>
      <c r="K16" s="13">
        <f>6164146+2000000+6900000-777174.7-1139416.59</f>
        <v>13147554.710000001</v>
      </c>
      <c r="L16" s="13">
        <f>12234868.61+136539.68</f>
        <v>12371408.289999999</v>
      </c>
      <c r="M16" s="15">
        <v>15707042.35</v>
      </c>
      <c r="N16" s="15">
        <v>13641133.68</v>
      </c>
      <c r="O16" s="15">
        <v>11747410.130000001</v>
      </c>
      <c r="P16" s="15">
        <f>11747410.13+3668110.41</f>
        <v>15415520.540000001</v>
      </c>
      <c r="Q16" s="15">
        <f>480000+11747410</f>
        <v>12227410</v>
      </c>
      <c r="R16" s="15">
        <f>14260211.94</f>
        <v>14260211.939999999</v>
      </c>
      <c r="S16" s="15">
        <f>18814422.31+6000000</f>
        <v>24814422.309999999</v>
      </c>
      <c r="T16" s="19">
        <f>18814422.31+6000000</f>
        <v>24814422.309999999</v>
      </c>
      <c r="U16" s="15">
        <f>18814422.31+6000000</f>
        <v>24814422.309999999</v>
      </c>
      <c r="V16" s="1"/>
      <c r="W16" s="1"/>
      <c r="X16" s="1"/>
      <c r="Y16" s="1"/>
      <c r="Z16" s="1"/>
      <c r="AA16" s="1"/>
      <c r="AB16" s="1"/>
      <c r="AC16" s="1"/>
      <c r="AD16" s="1"/>
      <c r="AE16" s="1"/>
      <c r="AF16" s="1"/>
      <c r="AG16" s="1"/>
      <c r="AH16" s="1"/>
    </row>
    <row r="17" spans="1:34" s="8" customFormat="1" ht="41.25" customHeight="1" x14ac:dyDescent="0.25">
      <c r="A17" s="172"/>
      <c r="B17" s="174"/>
      <c r="C17" s="174"/>
      <c r="D17" s="148" t="s">
        <v>27</v>
      </c>
      <c r="E17" s="148" t="s">
        <v>26</v>
      </c>
      <c r="F17" s="148" t="s">
        <v>26</v>
      </c>
      <c r="G17" s="148" t="s">
        <v>26</v>
      </c>
      <c r="H17" s="148" t="s">
        <v>26</v>
      </c>
      <c r="I17" s="13">
        <f t="shared" si="11"/>
        <v>730000</v>
      </c>
      <c r="J17" s="13">
        <v>0</v>
      </c>
      <c r="K17" s="13">
        <v>0</v>
      </c>
      <c r="L17" s="13">
        <v>0</v>
      </c>
      <c r="M17" s="15">
        <v>0</v>
      </c>
      <c r="N17" s="15">
        <v>400000</v>
      </c>
      <c r="O17" s="15">
        <v>330000</v>
      </c>
      <c r="P17" s="15">
        <v>0</v>
      </c>
      <c r="Q17" s="15">
        <v>0</v>
      </c>
      <c r="R17" s="15">
        <v>0</v>
      </c>
      <c r="S17" s="15">
        <f>R17</f>
        <v>0</v>
      </c>
      <c r="T17" s="19">
        <f>S17</f>
        <v>0</v>
      </c>
      <c r="U17" s="20"/>
      <c r="V17" s="1"/>
      <c r="W17" s="1"/>
      <c r="X17" s="1"/>
      <c r="Y17" s="1"/>
      <c r="Z17" s="1"/>
      <c r="AA17" s="1"/>
      <c r="AB17" s="1"/>
      <c r="AC17" s="1"/>
      <c r="AD17" s="1"/>
      <c r="AE17" s="1"/>
      <c r="AF17" s="1"/>
      <c r="AG17" s="1"/>
      <c r="AH17" s="1"/>
    </row>
    <row r="18" spans="1:34" s="8" customFormat="1" ht="51.75" customHeight="1" x14ac:dyDescent="0.25">
      <c r="A18" s="136">
        <v>6</v>
      </c>
      <c r="B18" s="143" t="s">
        <v>34</v>
      </c>
      <c r="C18" s="173" t="s">
        <v>33</v>
      </c>
      <c r="D18" s="148" t="s">
        <v>25</v>
      </c>
      <c r="E18" s="148" t="s">
        <v>26</v>
      </c>
      <c r="F18" s="148" t="s">
        <v>26</v>
      </c>
      <c r="G18" s="148" t="s">
        <v>26</v>
      </c>
      <c r="H18" s="148" t="s">
        <v>26</v>
      </c>
      <c r="I18" s="13">
        <f t="shared" si="11"/>
        <v>3029712.2</v>
      </c>
      <c r="J18" s="13">
        <f>5208012.5-3240-607951.82-1549472.18-17636.3</f>
        <v>3029712.2</v>
      </c>
      <c r="K18" s="13">
        <v>0</v>
      </c>
      <c r="L18" s="13">
        <v>0</v>
      </c>
      <c r="M18" s="15">
        <f>2000000-2000000</f>
        <v>0</v>
      </c>
      <c r="N18" s="15">
        <v>0</v>
      </c>
      <c r="O18" s="15">
        <v>0</v>
      </c>
      <c r="P18" s="15">
        <v>0</v>
      </c>
      <c r="Q18" s="15">
        <v>0</v>
      </c>
      <c r="R18" s="15">
        <v>0</v>
      </c>
      <c r="S18" s="15">
        <v>0</v>
      </c>
      <c r="T18" s="19">
        <v>0</v>
      </c>
      <c r="U18" s="19">
        <v>0</v>
      </c>
      <c r="V18" s="1"/>
      <c r="W18" s="1"/>
      <c r="X18" s="1"/>
      <c r="Y18" s="1"/>
      <c r="Z18" s="1"/>
      <c r="AA18" s="1"/>
      <c r="AB18" s="1"/>
      <c r="AC18" s="1"/>
      <c r="AD18" s="1"/>
      <c r="AE18" s="1"/>
      <c r="AF18" s="1"/>
      <c r="AG18" s="1"/>
      <c r="AH18" s="1"/>
    </row>
    <row r="19" spans="1:34" s="8" customFormat="1" ht="60" hidden="1" customHeight="1" x14ac:dyDescent="0.25">
      <c r="A19" s="136"/>
      <c r="B19" s="143"/>
      <c r="C19" s="174"/>
      <c r="D19" s="148"/>
      <c r="E19" s="148"/>
      <c r="F19" s="148"/>
      <c r="G19" s="148"/>
      <c r="H19" s="148"/>
      <c r="I19" s="13">
        <f t="shared" si="11"/>
        <v>0</v>
      </c>
      <c r="J19" s="13"/>
      <c r="K19" s="13"/>
      <c r="L19" s="13"/>
      <c r="M19" s="15"/>
      <c r="N19" s="15"/>
      <c r="O19" s="15"/>
      <c r="P19" s="15"/>
      <c r="Q19" s="15"/>
      <c r="R19" s="15"/>
      <c r="S19" s="15"/>
      <c r="T19" s="19"/>
      <c r="U19" s="20"/>
      <c r="V19" s="1"/>
      <c r="W19" s="1"/>
      <c r="X19" s="1"/>
      <c r="Y19" s="1"/>
      <c r="Z19" s="1"/>
      <c r="AA19" s="1"/>
      <c r="AB19" s="1"/>
      <c r="AC19" s="1"/>
      <c r="AD19" s="1"/>
      <c r="AE19" s="1"/>
      <c r="AF19" s="1"/>
      <c r="AG19" s="1"/>
      <c r="AH19" s="1"/>
    </row>
    <row r="20" spans="1:34" s="8" customFormat="1" ht="94.5" x14ac:dyDescent="0.25">
      <c r="A20" s="136">
        <v>7</v>
      </c>
      <c r="B20" s="143" t="s">
        <v>35</v>
      </c>
      <c r="C20" s="148" t="s">
        <v>36</v>
      </c>
      <c r="D20" s="148" t="s">
        <v>27</v>
      </c>
      <c r="E20" s="148" t="s">
        <v>26</v>
      </c>
      <c r="F20" s="148" t="s">
        <v>26</v>
      </c>
      <c r="G20" s="148" t="s">
        <v>26</v>
      </c>
      <c r="H20" s="148" t="s">
        <v>26</v>
      </c>
      <c r="I20" s="13">
        <f t="shared" si="11"/>
        <v>387227.66</v>
      </c>
      <c r="J20" s="13">
        <v>0</v>
      </c>
      <c r="K20" s="13">
        <v>0</v>
      </c>
      <c r="L20" s="13">
        <v>0</v>
      </c>
      <c r="M20" s="13">
        <v>0</v>
      </c>
      <c r="N20" s="15">
        <v>0</v>
      </c>
      <c r="O20" s="15">
        <v>0</v>
      </c>
      <c r="P20" s="15">
        <v>13927.66</v>
      </c>
      <c r="Q20" s="15">
        <v>292200</v>
      </c>
      <c r="R20" s="15">
        <v>81100</v>
      </c>
      <c r="S20" s="15">
        <v>0</v>
      </c>
      <c r="T20" s="19">
        <v>0</v>
      </c>
      <c r="U20" s="15">
        <v>0</v>
      </c>
      <c r="V20" s="1"/>
      <c r="W20" s="1"/>
      <c r="X20" s="1"/>
      <c r="Y20" s="1"/>
      <c r="Z20" s="1"/>
      <c r="AA20" s="1"/>
      <c r="AB20" s="1"/>
      <c r="AC20" s="1"/>
      <c r="AD20" s="1"/>
      <c r="AE20" s="1"/>
      <c r="AF20" s="1"/>
      <c r="AG20" s="1"/>
      <c r="AH20" s="1"/>
    </row>
    <row r="21" spans="1:34" s="8" customFormat="1" ht="66.75" customHeight="1" x14ac:dyDescent="0.25">
      <c r="A21" s="136">
        <v>8</v>
      </c>
      <c r="B21" s="143" t="s">
        <v>37</v>
      </c>
      <c r="C21" s="148" t="s">
        <v>38</v>
      </c>
      <c r="D21" s="148" t="s">
        <v>25</v>
      </c>
      <c r="E21" s="148" t="s">
        <v>26</v>
      </c>
      <c r="F21" s="148" t="s">
        <v>26</v>
      </c>
      <c r="G21" s="148" t="s">
        <v>26</v>
      </c>
      <c r="H21" s="148" t="s">
        <v>26</v>
      </c>
      <c r="I21" s="13">
        <f t="shared" si="11"/>
        <v>40232855.079999998</v>
      </c>
      <c r="J21" s="13">
        <f t="shared" ref="J21:U21" si="12">J22</f>
        <v>2083420.5500000003</v>
      </c>
      <c r="K21" s="13">
        <f t="shared" si="12"/>
        <v>1607599.44</v>
      </c>
      <c r="L21" s="13">
        <f t="shared" si="12"/>
        <v>2916359.91</v>
      </c>
      <c r="M21" s="15">
        <f t="shared" si="12"/>
        <v>2969561.09</v>
      </c>
      <c r="N21" s="15">
        <f t="shared" si="12"/>
        <v>1826028.85</v>
      </c>
      <c r="O21" s="15">
        <f t="shared" si="12"/>
        <v>3051773.5399999996</v>
      </c>
      <c r="P21" s="16">
        <f t="shared" si="12"/>
        <v>2840385.85</v>
      </c>
      <c r="Q21" s="16">
        <f t="shared" si="12"/>
        <v>3326401.9299999997</v>
      </c>
      <c r="R21" s="16">
        <f t="shared" si="12"/>
        <v>4667853.92</v>
      </c>
      <c r="S21" s="16">
        <f t="shared" si="12"/>
        <v>4959178</v>
      </c>
      <c r="T21" s="17">
        <f t="shared" si="12"/>
        <v>4992146</v>
      </c>
      <c r="U21" s="17">
        <f t="shared" si="12"/>
        <v>4992146</v>
      </c>
      <c r="V21" s="1"/>
      <c r="W21" s="1"/>
      <c r="X21" s="1"/>
      <c r="Y21" s="1"/>
      <c r="Z21" s="1"/>
      <c r="AA21" s="1"/>
      <c r="AB21" s="1"/>
      <c r="AC21" s="1"/>
      <c r="AD21" s="1"/>
      <c r="AE21" s="1"/>
      <c r="AF21" s="1"/>
      <c r="AG21" s="1"/>
      <c r="AH21" s="1"/>
    </row>
    <row r="22" spans="1:34" s="8" customFormat="1" ht="75.75" customHeight="1" x14ac:dyDescent="0.25">
      <c r="A22" s="136">
        <v>9</v>
      </c>
      <c r="B22" s="143" t="s">
        <v>39</v>
      </c>
      <c r="C22" s="148" t="s">
        <v>38</v>
      </c>
      <c r="D22" s="148" t="s">
        <v>25</v>
      </c>
      <c r="E22" s="148" t="s">
        <v>26</v>
      </c>
      <c r="F22" s="148" t="s">
        <v>26</v>
      </c>
      <c r="G22" s="148" t="s">
        <v>26</v>
      </c>
      <c r="H22" s="148" t="s">
        <v>26</v>
      </c>
      <c r="I22" s="13">
        <f t="shared" si="11"/>
        <v>40232855.079999998</v>
      </c>
      <c r="J22" s="15">
        <f t="shared" ref="J22:U22" si="13">J24+J25+J26+J27</f>
        <v>2083420.5500000003</v>
      </c>
      <c r="K22" s="15">
        <f t="shared" si="13"/>
        <v>1607599.44</v>
      </c>
      <c r="L22" s="15">
        <f t="shared" si="13"/>
        <v>2916359.91</v>
      </c>
      <c r="M22" s="15">
        <f t="shared" si="13"/>
        <v>2969561.09</v>
      </c>
      <c r="N22" s="15">
        <f t="shared" si="13"/>
        <v>1826028.85</v>
      </c>
      <c r="O22" s="15">
        <f t="shared" si="13"/>
        <v>3051773.5399999996</v>
      </c>
      <c r="P22" s="16">
        <f t="shared" si="13"/>
        <v>2840385.85</v>
      </c>
      <c r="Q22" s="16">
        <f t="shared" si="13"/>
        <v>3326401.9299999997</v>
      </c>
      <c r="R22" s="16">
        <f t="shared" si="13"/>
        <v>4667853.92</v>
      </c>
      <c r="S22" s="16">
        <f t="shared" si="13"/>
        <v>4959178</v>
      </c>
      <c r="T22" s="17">
        <f t="shared" si="13"/>
        <v>4992146</v>
      </c>
      <c r="U22" s="17">
        <f t="shared" si="13"/>
        <v>4992146</v>
      </c>
      <c r="V22" s="1"/>
      <c r="W22" s="1"/>
      <c r="X22" s="1"/>
      <c r="Y22" s="1"/>
      <c r="Z22" s="1"/>
      <c r="AA22" s="1"/>
      <c r="AB22" s="1"/>
      <c r="AC22" s="1"/>
      <c r="AD22" s="1"/>
      <c r="AE22" s="1"/>
      <c r="AF22" s="1"/>
      <c r="AG22" s="1"/>
      <c r="AH22" s="1"/>
    </row>
    <row r="23" spans="1:34" s="8" customFormat="1" ht="24" customHeight="1" x14ac:dyDescent="0.25">
      <c r="A23" s="168">
        <v>10</v>
      </c>
      <c r="B23" s="170" t="s">
        <v>40</v>
      </c>
      <c r="C23" s="148" t="s">
        <v>41</v>
      </c>
      <c r="D23" s="182"/>
      <c r="E23" s="183"/>
      <c r="F23" s="183"/>
      <c r="G23" s="183"/>
      <c r="H23" s="183"/>
      <c r="I23" s="183"/>
      <c r="J23" s="183"/>
      <c r="K23" s="183"/>
      <c r="L23" s="184"/>
      <c r="M23" s="21"/>
      <c r="N23" s="22"/>
      <c r="O23" s="15"/>
      <c r="P23" s="15"/>
      <c r="Q23" s="15"/>
      <c r="R23" s="15"/>
      <c r="S23" s="22"/>
      <c r="T23" s="23"/>
      <c r="U23" s="20"/>
      <c r="V23" s="1"/>
      <c r="W23" s="1"/>
      <c r="X23" s="1"/>
      <c r="Y23" s="1"/>
      <c r="Z23" s="1"/>
      <c r="AA23" s="1"/>
      <c r="AB23" s="1"/>
      <c r="AC23" s="1"/>
      <c r="AD23" s="1"/>
      <c r="AE23" s="1"/>
      <c r="AF23" s="1"/>
      <c r="AG23" s="1"/>
      <c r="AH23" s="1"/>
    </row>
    <row r="24" spans="1:34" s="8" customFormat="1" ht="39" customHeight="1" x14ac:dyDescent="0.25">
      <c r="A24" s="168"/>
      <c r="B24" s="170"/>
      <c r="C24" s="148" t="s">
        <v>42</v>
      </c>
      <c r="D24" s="148" t="s">
        <v>25</v>
      </c>
      <c r="E24" s="148" t="s">
        <v>26</v>
      </c>
      <c r="F24" s="148" t="s">
        <v>26</v>
      </c>
      <c r="G24" s="148" t="s">
        <v>26</v>
      </c>
      <c r="H24" s="148" t="s">
        <v>26</v>
      </c>
      <c r="I24" s="13">
        <f>SUM(J24:U24)</f>
        <v>14129440.949999999</v>
      </c>
      <c r="J24" s="13">
        <v>872845.87</v>
      </c>
      <c r="K24" s="24">
        <f>700652-4632.91</f>
        <v>696019.09</v>
      </c>
      <c r="L24" s="24">
        <v>955083.45</v>
      </c>
      <c r="M24" s="24">
        <f>1034559-2401.78</f>
        <v>1032157.22</v>
      </c>
      <c r="N24" s="15">
        <v>610317.44999999995</v>
      </c>
      <c r="O24" s="15">
        <v>1014580.27</v>
      </c>
      <c r="P24" s="15">
        <v>1005782</v>
      </c>
      <c r="Q24" s="15">
        <v>1138469.01</v>
      </c>
      <c r="R24" s="15">
        <v>1174846.5900000001</v>
      </c>
      <c r="S24" s="15">
        <v>1854468</v>
      </c>
      <c r="T24" s="19">
        <v>1887436</v>
      </c>
      <c r="U24" s="19">
        <v>1887436</v>
      </c>
      <c r="V24" s="1"/>
      <c r="W24" s="1"/>
      <c r="X24" s="1"/>
      <c r="Y24" s="1"/>
      <c r="Z24" s="1"/>
      <c r="AA24" s="1"/>
      <c r="AB24" s="1"/>
      <c r="AC24" s="1"/>
      <c r="AD24" s="1"/>
      <c r="AE24" s="1"/>
      <c r="AF24" s="1"/>
      <c r="AG24" s="1"/>
      <c r="AH24" s="1"/>
    </row>
    <row r="25" spans="1:34" s="8" customFormat="1" ht="39" customHeight="1" x14ac:dyDescent="0.25">
      <c r="A25" s="168"/>
      <c r="B25" s="170"/>
      <c r="C25" s="148" t="s">
        <v>43</v>
      </c>
      <c r="D25" s="148" t="s">
        <v>25</v>
      </c>
      <c r="E25" s="148" t="s">
        <v>26</v>
      </c>
      <c r="F25" s="148" t="s">
        <v>26</v>
      </c>
      <c r="G25" s="148" t="s">
        <v>26</v>
      </c>
      <c r="H25" s="148" t="s">
        <v>26</v>
      </c>
      <c r="I25" s="13">
        <f t="shared" ref="I25:I45" si="14">SUM(J25:U25)</f>
        <v>12439076.029999999</v>
      </c>
      <c r="J25" s="13">
        <v>600000</v>
      </c>
      <c r="K25" s="25">
        <f>500000</f>
        <v>500000</v>
      </c>
      <c r="L25" s="24">
        <v>902798.25</v>
      </c>
      <c r="M25" s="24">
        <f>1025895.05-65851.51</f>
        <v>960043.54</v>
      </c>
      <c r="N25" s="24">
        <f>615700-2462.35</f>
        <v>613237.65</v>
      </c>
      <c r="O25" s="15">
        <v>999604.44</v>
      </c>
      <c r="P25" s="15">
        <v>822757.92</v>
      </c>
      <c r="Q25" s="15">
        <v>1194407.83</v>
      </c>
      <c r="R25" s="15">
        <v>1346226.4</v>
      </c>
      <c r="S25" s="24">
        <v>1500000</v>
      </c>
      <c r="T25" s="26">
        <v>1500000</v>
      </c>
      <c r="U25" s="26">
        <v>1500000</v>
      </c>
      <c r="V25" s="1"/>
      <c r="W25" s="1"/>
      <c r="X25" s="1"/>
      <c r="Y25" s="1"/>
      <c r="Z25" s="1"/>
      <c r="AA25" s="1"/>
      <c r="AB25" s="1"/>
      <c r="AC25" s="1"/>
      <c r="AD25" s="1"/>
      <c r="AE25" s="1"/>
      <c r="AF25" s="1"/>
      <c r="AG25" s="1"/>
      <c r="AH25" s="1"/>
    </row>
    <row r="26" spans="1:34" s="8" customFormat="1" ht="39" customHeight="1" x14ac:dyDescent="0.25">
      <c r="A26" s="168"/>
      <c r="B26" s="170"/>
      <c r="C26" s="148" t="s">
        <v>44</v>
      </c>
      <c r="D26" s="148" t="s">
        <v>25</v>
      </c>
      <c r="E26" s="148" t="s">
        <v>26</v>
      </c>
      <c r="F26" s="148" t="s">
        <v>26</v>
      </c>
      <c r="G26" s="148" t="s">
        <v>26</v>
      </c>
      <c r="H26" s="148" t="s">
        <v>26</v>
      </c>
      <c r="I26" s="13">
        <f t="shared" si="14"/>
        <v>9917803.1799999997</v>
      </c>
      <c r="J26" s="13">
        <v>328022.57</v>
      </c>
      <c r="K26" s="24">
        <f>359536-82901-0.65</f>
        <v>276634.34999999998</v>
      </c>
      <c r="L26" s="24">
        <f>359536+600000-165114.74</f>
        <v>794421.26</v>
      </c>
      <c r="M26" s="27">
        <f>789107-15573.9</f>
        <v>773533.1</v>
      </c>
      <c r="N26" s="27">
        <v>379424.38</v>
      </c>
      <c r="O26" s="27">
        <v>763996.01</v>
      </c>
      <c r="P26" s="15">
        <v>739633.83</v>
      </c>
      <c r="Q26" s="15">
        <v>668893.52</v>
      </c>
      <c r="R26" s="15">
        <v>1546000.16</v>
      </c>
      <c r="S26" s="24">
        <v>1215748</v>
      </c>
      <c r="T26" s="24">
        <v>1215748</v>
      </c>
      <c r="U26" s="24">
        <v>1215748</v>
      </c>
      <c r="V26" s="1"/>
      <c r="W26" s="1"/>
      <c r="X26" s="1"/>
      <c r="Y26" s="1"/>
      <c r="Z26" s="1"/>
      <c r="AA26" s="1"/>
      <c r="AB26" s="1"/>
      <c r="AC26" s="1"/>
      <c r="AD26" s="1"/>
      <c r="AE26" s="1"/>
      <c r="AF26" s="1"/>
      <c r="AG26" s="1"/>
      <c r="AH26" s="1"/>
    </row>
    <row r="27" spans="1:34" s="8" customFormat="1" ht="39" customHeight="1" x14ac:dyDescent="0.25">
      <c r="A27" s="168"/>
      <c r="B27" s="170"/>
      <c r="C27" s="148" t="s">
        <v>45</v>
      </c>
      <c r="D27" s="148" t="s">
        <v>25</v>
      </c>
      <c r="E27" s="148" t="s">
        <v>26</v>
      </c>
      <c r="F27" s="148" t="s">
        <v>26</v>
      </c>
      <c r="G27" s="148" t="s">
        <v>26</v>
      </c>
      <c r="H27" s="148" t="s">
        <v>26</v>
      </c>
      <c r="I27" s="13">
        <f t="shared" si="14"/>
        <v>3746534.92</v>
      </c>
      <c r="J27" s="13">
        <v>282552.11</v>
      </c>
      <c r="K27" s="25">
        <f>303000-168054</f>
        <v>134946</v>
      </c>
      <c r="L27" s="24">
        <v>264056.95</v>
      </c>
      <c r="M27" s="27">
        <f>334250-130422.77</f>
        <v>203827.22999999998</v>
      </c>
      <c r="N27" s="15">
        <v>223049.37</v>
      </c>
      <c r="O27" s="15">
        <v>273592.82</v>
      </c>
      <c r="P27" s="15">
        <v>272212.09999999998</v>
      </c>
      <c r="Q27" s="15">
        <v>324631.57</v>
      </c>
      <c r="R27" s="15">
        <v>600780.77</v>
      </c>
      <c r="S27" s="24">
        <v>388962</v>
      </c>
      <c r="T27" s="24">
        <v>388962</v>
      </c>
      <c r="U27" s="24">
        <v>388962</v>
      </c>
      <c r="V27" s="1"/>
      <c r="W27" s="1"/>
      <c r="X27" s="1"/>
      <c r="Y27" s="1"/>
      <c r="Z27" s="1"/>
      <c r="AA27" s="1"/>
      <c r="AB27" s="1"/>
      <c r="AC27" s="1"/>
      <c r="AD27" s="1"/>
      <c r="AE27" s="1"/>
      <c r="AF27" s="1"/>
      <c r="AG27" s="1"/>
      <c r="AH27" s="1"/>
    </row>
    <row r="28" spans="1:34" s="8" customFormat="1" ht="66.75" customHeight="1" x14ac:dyDescent="0.25">
      <c r="A28" s="136">
        <v>11</v>
      </c>
      <c r="B28" s="148" t="s">
        <v>46</v>
      </c>
      <c r="C28" s="148" t="s">
        <v>47</v>
      </c>
      <c r="D28" s="148" t="s">
        <v>25</v>
      </c>
      <c r="E28" s="148" t="s">
        <v>26</v>
      </c>
      <c r="F28" s="148" t="s">
        <v>26</v>
      </c>
      <c r="G28" s="148" t="s">
        <v>26</v>
      </c>
      <c r="H28" s="148" t="s">
        <v>26</v>
      </c>
      <c r="I28" s="13">
        <f t="shared" si="14"/>
        <v>105787393.28</v>
      </c>
      <c r="J28" s="13">
        <v>0</v>
      </c>
      <c r="K28" s="25">
        <v>0</v>
      </c>
      <c r="L28" s="24">
        <f>7700000+300000+2460000</f>
        <v>10460000</v>
      </c>
      <c r="M28" s="27">
        <v>19719007.440000001</v>
      </c>
      <c r="N28" s="15">
        <v>19719007.440000001</v>
      </c>
      <c r="O28" s="15">
        <v>19719007.399999999</v>
      </c>
      <c r="P28" s="15">
        <v>19721344.800000001</v>
      </c>
      <c r="Q28" s="15">
        <v>16449026.199999999</v>
      </c>
      <c r="R28" s="15">
        <v>0</v>
      </c>
      <c r="S28" s="15">
        <v>0</v>
      </c>
      <c r="T28" s="19">
        <v>0</v>
      </c>
      <c r="U28" s="19">
        <v>0</v>
      </c>
      <c r="V28" s="1"/>
      <c r="W28" s="1"/>
      <c r="X28" s="1"/>
      <c r="Y28" s="1"/>
      <c r="Z28" s="1"/>
      <c r="AA28" s="1"/>
      <c r="AB28" s="1"/>
      <c r="AC28" s="1"/>
      <c r="AD28" s="1"/>
      <c r="AE28" s="1"/>
      <c r="AF28" s="1"/>
      <c r="AG28" s="1"/>
      <c r="AH28" s="1"/>
    </row>
    <row r="29" spans="1:34" s="8" customFormat="1" ht="0.75" hidden="1" customHeight="1" x14ac:dyDescent="0.25">
      <c r="A29" s="137">
        <v>11</v>
      </c>
      <c r="B29" s="144" t="s">
        <v>48</v>
      </c>
      <c r="C29" s="144" t="s">
        <v>49</v>
      </c>
      <c r="D29" s="144" t="s">
        <v>50</v>
      </c>
      <c r="E29" s="144" t="s">
        <v>26</v>
      </c>
      <c r="F29" s="144" t="s">
        <v>26</v>
      </c>
      <c r="G29" s="144" t="s">
        <v>26</v>
      </c>
      <c r="H29" s="144" t="s">
        <v>26</v>
      </c>
      <c r="I29" s="13">
        <f t="shared" si="14"/>
        <v>105789378.40000001</v>
      </c>
      <c r="J29" s="28">
        <v>0</v>
      </c>
      <c r="K29" s="29">
        <v>0</v>
      </c>
      <c r="L29" s="30">
        <f>7700000+300000+2460000</f>
        <v>10460000</v>
      </c>
      <c r="M29" s="31">
        <v>19720000</v>
      </c>
      <c r="N29" s="32">
        <v>19720000</v>
      </c>
      <c r="O29" s="32">
        <f>O28</f>
        <v>19719007.399999999</v>
      </c>
      <c r="P29" s="32">
        <f>P28</f>
        <v>19721344.800000001</v>
      </c>
      <c r="Q29" s="32">
        <f>Q28</f>
        <v>16449026.199999999</v>
      </c>
      <c r="R29" s="32">
        <f>R28</f>
        <v>0</v>
      </c>
      <c r="S29" s="32"/>
      <c r="T29" s="33"/>
      <c r="U29" s="34"/>
      <c r="V29" s="1"/>
      <c r="W29" s="1"/>
      <c r="X29" s="1"/>
      <c r="Y29" s="1"/>
      <c r="Z29" s="1"/>
      <c r="AA29" s="1"/>
      <c r="AB29" s="1"/>
      <c r="AC29" s="1"/>
      <c r="AD29" s="1"/>
      <c r="AE29" s="1"/>
      <c r="AF29" s="1"/>
      <c r="AG29" s="1"/>
      <c r="AH29" s="1"/>
    </row>
    <row r="30" spans="1:34" s="8" customFormat="1" ht="61.5" customHeight="1" x14ac:dyDescent="0.25">
      <c r="A30" s="168">
        <v>12</v>
      </c>
      <c r="B30" s="185" t="s">
        <v>51</v>
      </c>
      <c r="C30" s="170" t="s">
        <v>24</v>
      </c>
      <c r="D30" s="148" t="s">
        <v>25</v>
      </c>
      <c r="E30" s="148" t="s">
        <v>26</v>
      </c>
      <c r="F30" s="148" t="s">
        <v>26</v>
      </c>
      <c r="G30" s="148" t="s">
        <v>26</v>
      </c>
      <c r="H30" s="148" t="s">
        <v>26</v>
      </c>
      <c r="I30" s="13">
        <f t="shared" si="14"/>
        <v>5792083875.5799999</v>
      </c>
      <c r="J30" s="15">
        <f t="shared" ref="J30:U32" si="15">J49</f>
        <v>372889129.33999997</v>
      </c>
      <c r="K30" s="15">
        <f t="shared" si="15"/>
        <v>424396537.21000004</v>
      </c>
      <c r="L30" s="15">
        <f t="shared" si="15"/>
        <v>452889558.25</v>
      </c>
      <c r="M30" s="15">
        <f t="shared" si="15"/>
        <v>512472449.95000005</v>
      </c>
      <c r="N30" s="15">
        <f t="shared" si="15"/>
        <v>489229392.56000006</v>
      </c>
      <c r="O30" s="15">
        <f t="shared" si="15"/>
        <v>504396594.04000002</v>
      </c>
      <c r="P30" s="16">
        <f t="shared" si="15"/>
        <v>409330296.53000003</v>
      </c>
      <c r="Q30" s="16">
        <f t="shared" si="15"/>
        <v>559468420.42999995</v>
      </c>
      <c r="R30" s="16">
        <f t="shared" si="15"/>
        <v>613502888.38999999</v>
      </c>
      <c r="S30" s="16">
        <f t="shared" si="15"/>
        <v>501572884.72000003</v>
      </c>
      <c r="T30" s="16">
        <f t="shared" si="15"/>
        <v>475932424.12</v>
      </c>
      <c r="U30" s="16">
        <f t="shared" si="15"/>
        <v>476003300.04000002</v>
      </c>
    </row>
    <row r="31" spans="1:34" s="8" customFormat="1" ht="59.25" customHeight="1" x14ac:dyDescent="0.25">
      <c r="A31" s="168"/>
      <c r="B31" s="185"/>
      <c r="C31" s="170"/>
      <c r="D31" s="148" t="s">
        <v>27</v>
      </c>
      <c r="E31" s="21" t="s">
        <v>26</v>
      </c>
      <c r="F31" s="21" t="s">
        <v>26</v>
      </c>
      <c r="G31" s="21" t="s">
        <v>26</v>
      </c>
      <c r="H31" s="21" t="s">
        <v>26</v>
      </c>
      <c r="I31" s="13">
        <f t="shared" si="14"/>
        <v>867524318.79999995</v>
      </c>
      <c r="J31" s="15">
        <f t="shared" si="15"/>
        <v>6205500</v>
      </c>
      <c r="K31" s="15">
        <f t="shared" si="15"/>
        <v>5646328</v>
      </c>
      <c r="L31" s="15">
        <f t="shared" si="15"/>
        <v>8111483.2999999998</v>
      </c>
      <c r="M31" s="15">
        <f t="shared" si="15"/>
        <v>41350284</v>
      </c>
      <c r="N31" s="15">
        <f t="shared" si="15"/>
        <v>38620065.890000001</v>
      </c>
      <c r="O31" s="15">
        <f t="shared" si="15"/>
        <v>41178378.030000001</v>
      </c>
      <c r="P31" s="16">
        <f t="shared" si="15"/>
        <v>66175546.780000001</v>
      </c>
      <c r="Q31" s="16">
        <f t="shared" si="15"/>
        <v>113061754.48999999</v>
      </c>
      <c r="R31" s="16">
        <f t="shared" si="15"/>
        <v>190457678.31</v>
      </c>
      <c r="S31" s="16">
        <f t="shared" si="15"/>
        <v>161704900</v>
      </c>
      <c r="T31" s="16">
        <f t="shared" si="15"/>
        <v>97506200</v>
      </c>
      <c r="U31" s="16">
        <f t="shared" si="15"/>
        <v>97506200</v>
      </c>
    </row>
    <row r="32" spans="1:34" s="8" customFormat="1" ht="115.5" customHeight="1" x14ac:dyDescent="0.25">
      <c r="A32" s="168"/>
      <c r="B32" s="185"/>
      <c r="C32" s="170"/>
      <c r="D32" s="148" t="s">
        <v>28</v>
      </c>
      <c r="E32" s="21" t="s">
        <v>26</v>
      </c>
      <c r="F32" s="21" t="s">
        <v>26</v>
      </c>
      <c r="G32" s="21" t="s">
        <v>26</v>
      </c>
      <c r="H32" s="21" t="s">
        <v>26</v>
      </c>
      <c r="I32" s="13">
        <f t="shared" si="14"/>
        <v>52002482</v>
      </c>
      <c r="J32" s="15">
        <f t="shared" si="15"/>
        <v>0</v>
      </c>
      <c r="K32" s="15">
        <f t="shared" si="15"/>
        <v>0</v>
      </c>
      <c r="L32" s="15">
        <f t="shared" si="15"/>
        <v>0</v>
      </c>
      <c r="M32" s="15">
        <f t="shared" si="15"/>
        <v>0</v>
      </c>
      <c r="N32" s="15">
        <f t="shared" si="15"/>
        <v>493882</v>
      </c>
      <c r="O32" s="15">
        <f t="shared" si="15"/>
        <v>0</v>
      </c>
      <c r="P32" s="15">
        <f t="shared" si="15"/>
        <v>0</v>
      </c>
      <c r="Q32" s="15">
        <f t="shared" si="15"/>
        <v>0</v>
      </c>
      <c r="R32" s="15">
        <f t="shared" si="15"/>
        <v>36958600</v>
      </c>
      <c r="S32" s="15">
        <f t="shared" si="15"/>
        <v>14550000</v>
      </c>
      <c r="T32" s="15">
        <f t="shared" si="15"/>
        <v>0</v>
      </c>
      <c r="U32" s="15">
        <f t="shared" si="15"/>
        <v>0</v>
      </c>
    </row>
    <row r="33" spans="1:21" s="8" customFormat="1" ht="38.25" customHeight="1" x14ac:dyDescent="0.25">
      <c r="A33" s="168">
        <v>13</v>
      </c>
      <c r="B33" s="169" t="s">
        <v>52</v>
      </c>
      <c r="C33" s="170" t="s">
        <v>53</v>
      </c>
      <c r="D33" s="148" t="s">
        <v>28</v>
      </c>
      <c r="E33" s="21" t="s">
        <v>26</v>
      </c>
      <c r="F33" s="21" t="s">
        <v>26</v>
      </c>
      <c r="G33" s="21" t="s">
        <v>26</v>
      </c>
      <c r="H33" s="21" t="s">
        <v>26</v>
      </c>
      <c r="I33" s="13">
        <f t="shared" si="14"/>
        <v>100438120</v>
      </c>
      <c r="J33" s="15">
        <v>0</v>
      </c>
      <c r="K33" s="15">
        <f>K120</f>
        <v>100438120</v>
      </c>
      <c r="L33" s="15">
        <v>0</v>
      </c>
      <c r="M33" s="15">
        <v>0</v>
      </c>
      <c r="N33" s="15">
        <v>0</v>
      </c>
      <c r="O33" s="15">
        <v>0</v>
      </c>
      <c r="P33" s="15">
        <v>0</v>
      </c>
      <c r="Q33" s="15">
        <v>0</v>
      </c>
      <c r="R33" s="15">
        <v>0</v>
      </c>
      <c r="S33" s="15">
        <v>0</v>
      </c>
      <c r="T33" s="15">
        <v>0</v>
      </c>
      <c r="U33" s="15">
        <v>0</v>
      </c>
    </row>
    <row r="34" spans="1:21" s="8" customFormat="1" ht="38.25" customHeight="1" x14ac:dyDescent="0.25">
      <c r="A34" s="168"/>
      <c r="B34" s="169"/>
      <c r="C34" s="170"/>
      <c r="D34" s="148" t="s">
        <v>27</v>
      </c>
      <c r="E34" s="21" t="s">
        <v>26</v>
      </c>
      <c r="F34" s="21" t="s">
        <v>26</v>
      </c>
      <c r="G34" s="21" t="s">
        <v>26</v>
      </c>
      <c r="H34" s="21" t="s">
        <v>26</v>
      </c>
      <c r="I34" s="13">
        <f t="shared" si="14"/>
        <v>39059268.890000001</v>
      </c>
      <c r="J34" s="15">
        <v>0</v>
      </c>
      <c r="K34" s="15">
        <f>K121</f>
        <v>39059268.890000001</v>
      </c>
      <c r="L34" s="15">
        <v>0</v>
      </c>
      <c r="M34" s="15">
        <v>0</v>
      </c>
      <c r="N34" s="15">
        <v>0</v>
      </c>
      <c r="O34" s="15">
        <v>0</v>
      </c>
      <c r="P34" s="15">
        <v>0</v>
      </c>
      <c r="Q34" s="15">
        <v>0</v>
      </c>
      <c r="R34" s="15">
        <v>0</v>
      </c>
      <c r="S34" s="15">
        <v>0</v>
      </c>
      <c r="T34" s="15">
        <v>0</v>
      </c>
      <c r="U34" s="15">
        <v>0</v>
      </c>
    </row>
    <row r="35" spans="1:21" s="8" customFormat="1" ht="38.25" customHeight="1" x14ac:dyDescent="0.25">
      <c r="A35" s="168"/>
      <c r="B35" s="169"/>
      <c r="C35" s="170"/>
      <c r="D35" s="148" t="s">
        <v>25</v>
      </c>
      <c r="E35" s="21" t="s">
        <v>26</v>
      </c>
      <c r="F35" s="21" t="s">
        <v>26</v>
      </c>
      <c r="G35" s="21" t="s">
        <v>26</v>
      </c>
      <c r="H35" s="21" t="s">
        <v>26</v>
      </c>
      <c r="I35" s="13">
        <f t="shared" si="14"/>
        <v>0</v>
      </c>
      <c r="J35" s="15">
        <v>0</v>
      </c>
      <c r="K35" s="15">
        <v>0</v>
      </c>
      <c r="L35" s="15">
        <v>0</v>
      </c>
      <c r="M35" s="15">
        <v>0</v>
      </c>
      <c r="N35" s="15">
        <v>0</v>
      </c>
      <c r="O35" s="15">
        <v>0</v>
      </c>
      <c r="P35" s="15">
        <v>0</v>
      </c>
      <c r="Q35" s="15">
        <v>0</v>
      </c>
      <c r="R35" s="15">
        <v>0</v>
      </c>
      <c r="S35" s="15">
        <v>0</v>
      </c>
      <c r="T35" s="15">
        <v>0</v>
      </c>
      <c r="U35" s="15">
        <v>0</v>
      </c>
    </row>
    <row r="36" spans="1:21" s="8" customFormat="1" ht="40.5" customHeight="1" x14ac:dyDescent="0.25">
      <c r="A36" s="168">
        <v>14</v>
      </c>
      <c r="B36" s="169" t="s">
        <v>54</v>
      </c>
      <c r="C36" s="170" t="s">
        <v>53</v>
      </c>
      <c r="D36" s="148" t="s">
        <v>50</v>
      </c>
      <c r="E36" s="21" t="s">
        <v>26</v>
      </c>
      <c r="F36" s="21" t="s">
        <v>26</v>
      </c>
      <c r="G36" s="21" t="s">
        <v>26</v>
      </c>
      <c r="H36" s="21" t="s">
        <v>26</v>
      </c>
      <c r="I36" s="13">
        <f t="shared" si="14"/>
        <v>368417724.44999999</v>
      </c>
      <c r="J36" s="15">
        <f t="shared" ref="J36:L37" si="16">J38</f>
        <v>0</v>
      </c>
      <c r="K36" s="15">
        <f t="shared" si="16"/>
        <v>0</v>
      </c>
      <c r="L36" s="15">
        <f t="shared" si="16"/>
        <v>0</v>
      </c>
      <c r="M36" s="15">
        <f t="shared" ref="M36:U36" si="17">M38+M40+M41</f>
        <v>453451.4</v>
      </c>
      <c r="N36" s="15">
        <f t="shared" si="17"/>
        <v>352334557.38</v>
      </c>
      <c r="O36" s="15">
        <f t="shared" si="17"/>
        <v>1193279</v>
      </c>
      <c r="P36" s="15">
        <f t="shared" si="17"/>
        <v>0</v>
      </c>
      <c r="Q36" s="15">
        <f t="shared" si="17"/>
        <v>0</v>
      </c>
      <c r="R36" s="15">
        <f t="shared" si="17"/>
        <v>14436436.67</v>
      </c>
      <c r="S36" s="15">
        <f t="shared" si="17"/>
        <v>0</v>
      </c>
      <c r="T36" s="15">
        <f t="shared" si="17"/>
        <v>0</v>
      </c>
      <c r="U36" s="15">
        <f t="shared" si="17"/>
        <v>0</v>
      </c>
    </row>
    <row r="37" spans="1:21" s="8" customFormat="1" ht="40.5" customHeight="1" x14ac:dyDescent="0.25">
      <c r="A37" s="168"/>
      <c r="B37" s="169"/>
      <c r="C37" s="170"/>
      <c r="D37" s="148" t="s">
        <v>27</v>
      </c>
      <c r="E37" s="21" t="s">
        <v>26</v>
      </c>
      <c r="F37" s="21" t="s">
        <v>26</v>
      </c>
      <c r="G37" s="21" t="s">
        <v>26</v>
      </c>
      <c r="H37" s="21" t="s">
        <v>26</v>
      </c>
      <c r="I37" s="13">
        <f t="shared" si="14"/>
        <v>453451400</v>
      </c>
      <c r="J37" s="15">
        <f t="shared" si="16"/>
        <v>0</v>
      </c>
      <c r="K37" s="15">
        <f t="shared" si="16"/>
        <v>0</v>
      </c>
      <c r="L37" s="15">
        <f t="shared" si="16"/>
        <v>0</v>
      </c>
      <c r="M37" s="15">
        <f>M39</f>
        <v>453451400</v>
      </c>
      <c r="N37" s="15">
        <f>N39</f>
        <v>0</v>
      </c>
      <c r="O37" s="15">
        <f t="shared" ref="O37:U37" si="18">O39+O40</f>
        <v>0</v>
      </c>
      <c r="P37" s="15">
        <f t="shared" si="18"/>
        <v>0</v>
      </c>
      <c r="Q37" s="15">
        <f t="shared" si="18"/>
        <v>0</v>
      </c>
      <c r="R37" s="15">
        <f t="shared" si="18"/>
        <v>0</v>
      </c>
      <c r="S37" s="15">
        <f t="shared" si="18"/>
        <v>0</v>
      </c>
      <c r="T37" s="15">
        <f t="shared" si="18"/>
        <v>0</v>
      </c>
      <c r="U37" s="15">
        <f t="shared" si="18"/>
        <v>0</v>
      </c>
    </row>
    <row r="38" spans="1:21" s="8" customFormat="1" ht="75" customHeight="1" x14ac:dyDescent="0.25">
      <c r="A38" s="168">
        <v>15</v>
      </c>
      <c r="B38" s="185" t="s">
        <v>55</v>
      </c>
      <c r="C38" s="170" t="s">
        <v>56</v>
      </c>
      <c r="D38" s="148" t="s">
        <v>25</v>
      </c>
      <c r="E38" s="21" t="s">
        <v>26</v>
      </c>
      <c r="F38" s="21" t="s">
        <v>26</v>
      </c>
      <c r="G38" s="21" t="s">
        <v>26</v>
      </c>
      <c r="H38" s="21" t="s">
        <v>26</v>
      </c>
      <c r="I38" s="13">
        <f t="shared" si="14"/>
        <v>453451.4</v>
      </c>
      <c r="J38" s="15">
        <v>0</v>
      </c>
      <c r="K38" s="15">
        <v>0</v>
      </c>
      <c r="L38" s="15">
        <v>0</v>
      </c>
      <c r="M38" s="15">
        <v>453451.4</v>
      </c>
      <c r="N38" s="15">
        <v>0</v>
      </c>
      <c r="O38" s="15">
        <v>0</v>
      </c>
      <c r="P38" s="15">
        <v>0</v>
      </c>
      <c r="Q38" s="15">
        <v>0</v>
      </c>
      <c r="R38" s="15">
        <v>0</v>
      </c>
      <c r="S38" s="15">
        <v>0</v>
      </c>
      <c r="T38" s="15">
        <v>0</v>
      </c>
      <c r="U38" s="15">
        <v>0</v>
      </c>
    </row>
    <row r="39" spans="1:21" s="8" customFormat="1" ht="93" customHeight="1" x14ac:dyDescent="0.25">
      <c r="A39" s="168"/>
      <c r="B39" s="185"/>
      <c r="C39" s="170"/>
      <c r="D39" s="148" t="s">
        <v>27</v>
      </c>
      <c r="E39" s="21" t="s">
        <v>26</v>
      </c>
      <c r="F39" s="21" t="s">
        <v>26</v>
      </c>
      <c r="G39" s="21" t="s">
        <v>26</v>
      </c>
      <c r="H39" s="21" t="s">
        <v>26</v>
      </c>
      <c r="I39" s="13">
        <f t="shared" si="14"/>
        <v>453451400</v>
      </c>
      <c r="J39" s="15">
        <v>0</v>
      </c>
      <c r="K39" s="15">
        <v>0</v>
      </c>
      <c r="L39" s="15">
        <v>0</v>
      </c>
      <c r="M39" s="15">
        <v>453451400</v>
      </c>
      <c r="N39" s="15">
        <v>0</v>
      </c>
      <c r="O39" s="15">
        <v>0</v>
      </c>
      <c r="P39" s="15">
        <v>0</v>
      </c>
      <c r="Q39" s="15">
        <v>0</v>
      </c>
      <c r="R39" s="15">
        <v>0</v>
      </c>
      <c r="S39" s="15">
        <v>0</v>
      </c>
      <c r="T39" s="15">
        <v>0</v>
      </c>
      <c r="U39" s="15">
        <v>0</v>
      </c>
    </row>
    <row r="40" spans="1:21" s="8" customFormat="1" ht="90" customHeight="1" x14ac:dyDescent="0.25">
      <c r="A40" s="136">
        <v>16</v>
      </c>
      <c r="B40" s="149" t="s">
        <v>57</v>
      </c>
      <c r="C40" s="148" t="s">
        <v>56</v>
      </c>
      <c r="D40" s="148" t="s">
        <v>25</v>
      </c>
      <c r="E40" s="21" t="s">
        <v>26</v>
      </c>
      <c r="F40" s="21" t="s">
        <v>26</v>
      </c>
      <c r="G40" s="21" t="s">
        <v>26</v>
      </c>
      <c r="H40" s="21" t="s">
        <v>26</v>
      </c>
      <c r="I40" s="13">
        <f t="shared" si="14"/>
        <v>352334557.38</v>
      </c>
      <c r="J40" s="15">
        <v>0</v>
      </c>
      <c r="K40" s="15">
        <v>0</v>
      </c>
      <c r="L40" s="15">
        <v>0</v>
      </c>
      <c r="M40" s="15">
        <v>0</v>
      </c>
      <c r="N40" s="15">
        <v>352334557.38</v>
      </c>
      <c r="O40" s="15">
        <v>0</v>
      </c>
      <c r="P40" s="15">
        <v>0</v>
      </c>
      <c r="Q40" s="15">
        <v>0</v>
      </c>
      <c r="R40" s="15">
        <v>0</v>
      </c>
      <c r="S40" s="15">
        <v>0</v>
      </c>
      <c r="T40" s="15">
        <v>0</v>
      </c>
      <c r="U40" s="15">
        <v>0</v>
      </c>
    </row>
    <row r="41" spans="1:21" s="8" customFormat="1" ht="63" x14ac:dyDescent="0.25">
      <c r="A41" s="136">
        <v>17</v>
      </c>
      <c r="B41" s="35" t="s">
        <v>58</v>
      </c>
      <c r="C41" s="148" t="s">
        <v>59</v>
      </c>
      <c r="D41" s="148" t="s">
        <v>25</v>
      </c>
      <c r="E41" s="21" t="s">
        <v>26</v>
      </c>
      <c r="F41" s="21" t="s">
        <v>26</v>
      </c>
      <c r="G41" s="21" t="s">
        <v>26</v>
      </c>
      <c r="H41" s="21" t="s">
        <v>26</v>
      </c>
      <c r="I41" s="13">
        <f t="shared" si="14"/>
        <v>15629715.67</v>
      </c>
      <c r="J41" s="15">
        <v>0</v>
      </c>
      <c r="K41" s="15">
        <v>0</v>
      </c>
      <c r="L41" s="15">
        <v>0</v>
      </c>
      <c r="M41" s="15">
        <v>0</v>
      </c>
      <c r="N41" s="15">
        <v>0</v>
      </c>
      <c r="O41" s="15">
        <v>1193279</v>
      </c>
      <c r="P41" s="15">
        <v>0</v>
      </c>
      <c r="Q41" s="15">
        <v>0</v>
      </c>
      <c r="R41" s="15">
        <v>14436436.67</v>
      </c>
      <c r="S41" s="15">
        <v>0</v>
      </c>
      <c r="T41" s="15">
        <v>0</v>
      </c>
      <c r="U41" s="15">
        <v>0</v>
      </c>
    </row>
    <row r="42" spans="1:21" s="8" customFormat="1" ht="78.75" customHeight="1" x14ac:dyDescent="0.25">
      <c r="A42" s="136">
        <v>18</v>
      </c>
      <c r="B42" s="36" t="s">
        <v>60</v>
      </c>
      <c r="C42" s="148" t="s">
        <v>59</v>
      </c>
      <c r="D42" s="148" t="s">
        <v>25</v>
      </c>
      <c r="E42" s="21" t="s">
        <v>26</v>
      </c>
      <c r="F42" s="21" t="s">
        <v>26</v>
      </c>
      <c r="G42" s="21" t="s">
        <v>26</v>
      </c>
      <c r="H42" s="21" t="s">
        <v>26</v>
      </c>
      <c r="I42" s="13">
        <f t="shared" si="14"/>
        <v>2192287</v>
      </c>
      <c r="J42" s="15">
        <f t="shared" ref="J42:T42" si="19">J43</f>
        <v>0</v>
      </c>
      <c r="K42" s="15">
        <f t="shared" si="19"/>
        <v>0</v>
      </c>
      <c r="L42" s="15">
        <f t="shared" si="19"/>
        <v>0</v>
      </c>
      <c r="M42" s="15">
        <f t="shared" si="19"/>
        <v>0</v>
      </c>
      <c r="N42" s="15">
        <f t="shared" si="19"/>
        <v>2192287</v>
      </c>
      <c r="O42" s="15">
        <f t="shared" si="19"/>
        <v>0</v>
      </c>
      <c r="P42" s="15">
        <f t="shared" si="19"/>
        <v>0</v>
      </c>
      <c r="Q42" s="15">
        <f t="shared" si="19"/>
        <v>0</v>
      </c>
      <c r="R42" s="15">
        <f t="shared" si="19"/>
        <v>0</v>
      </c>
      <c r="S42" s="15">
        <f t="shared" si="19"/>
        <v>0</v>
      </c>
      <c r="T42" s="15">
        <f t="shared" si="19"/>
        <v>0</v>
      </c>
      <c r="U42" s="15">
        <v>0</v>
      </c>
    </row>
    <row r="43" spans="1:21" s="8" customFormat="1" ht="111" customHeight="1" x14ac:dyDescent="0.25">
      <c r="A43" s="136">
        <v>19</v>
      </c>
      <c r="B43" s="37" t="s">
        <v>61</v>
      </c>
      <c r="C43" s="148" t="s">
        <v>59</v>
      </c>
      <c r="D43" s="148" t="s">
        <v>25</v>
      </c>
      <c r="E43" s="21" t="s">
        <v>26</v>
      </c>
      <c r="F43" s="21" t="s">
        <v>26</v>
      </c>
      <c r="G43" s="21" t="s">
        <v>26</v>
      </c>
      <c r="H43" s="21" t="s">
        <v>26</v>
      </c>
      <c r="I43" s="13">
        <f t="shared" si="14"/>
        <v>2192287</v>
      </c>
      <c r="J43" s="15">
        <v>0</v>
      </c>
      <c r="K43" s="15">
        <v>0</v>
      </c>
      <c r="L43" s="15">
        <v>0</v>
      </c>
      <c r="M43" s="15">
        <v>0</v>
      </c>
      <c r="N43" s="15">
        <v>2192287</v>
      </c>
      <c r="O43" s="15">
        <v>0</v>
      </c>
      <c r="P43" s="15">
        <v>0</v>
      </c>
      <c r="Q43" s="15">
        <v>0</v>
      </c>
      <c r="R43" s="15">
        <v>0</v>
      </c>
      <c r="S43" s="15">
        <v>0</v>
      </c>
      <c r="T43" s="15">
        <v>0</v>
      </c>
      <c r="U43" s="15">
        <v>0</v>
      </c>
    </row>
    <row r="44" spans="1:21" s="8" customFormat="1" hidden="1" x14ac:dyDescent="0.25">
      <c r="A44" s="136"/>
      <c r="B44" s="38"/>
      <c r="C44" s="148"/>
      <c r="D44" s="148"/>
      <c r="E44" s="21"/>
      <c r="F44" s="21"/>
      <c r="G44" s="21"/>
      <c r="H44" s="21"/>
      <c r="I44" s="13">
        <f t="shared" si="14"/>
        <v>0</v>
      </c>
      <c r="J44" s="15"/>
      <c r="K44" s="15"/>
      <c r="L44" s="15"/>
      <c r="M44" s="15"/>
      <c r="N44" s="15"/>
      <c r="O44" s="15"/>
      <c r="P44" s="15"/>
      <c r="Q44" s="15"/>
      <c r="R44" s="15"/>
      <c r="S44" s="15"/>
      <c r="T44" s="39"/>
      <c r="U44" s="20"/>
    </row>
    <row r="45" spans="1:21" s="8" customFormat="1" hidden="1" x14ac:dyDescent="0.25">
      <c r="A45" s="136"/>
      <c r="B45" s="38"/>
      <c r="C45" s="148"/>
      <c r="D45" s="148"/>
      <c r="E45" s="21"/>
      <c r="F45" s="21"/>
      <c r="G45" s="21"/>
      <c r="H45" s="21"/>
      <c r="I45" s="13">
        <f t="shared" si="14"/>
        <v>0</v>
      </c>
      <c r="J45" s="15"/>
      <c r="K45" s="15"/>
      <c r="L45" s="15"/>
      <c r="M45" s="15"/>
      <c r="N45" s="15"/>
      <c r="O45" s="15"/>
      <c r="P45" s="15"/>
      <c r="Q45" s="15"/>
      <c r="R45" s="15"/>
      <c r="S45" s="15"/>
      <c r="T45" s="39"/>
      <c r="U45" s="20"/>
    </row>
    <row r="46" spans="1:21" s="8" customFormat="1" ht="30" customHeight="1" x14ac:dyDescent="0.25">
      <c r="A46" s="169" t="s">
        <v>62</v>
      </c>
      <c r="B46" s="169"/>
      <c r="C46" s="169"/>
      <c r="D46" s="169"/>
      <c r="E46" s="169"/>
      <c r="F46" s="169"/>
      <c r="G46" s="169"/>
      <c r="H46" s="169"/>
      <c r="I46" s="169"/>
      <c r="J46" s="169"/>
      <c r="K46" s="169"/>
      <c r="L46" s="169"/>
      <c r="M46" s="169"/>
      <c r="N46" s="169"/>
      <c r="O46" s="169"/>
      <c r="P46" s="169"/>
      <c r="Q46" s="169"/>
      <c r="R46" s="169"/>
      <c r="S46" s="143"/>
      <c r="T46" s="20"/>
      <c r="U46" s="20"/>
    </row>
    <row r="47" spans="1:21" s="8" customFormat="1" ht="17.25" hidden="1" customHeight="1" x14ac:dyDescent="0.25">
      <c r="A47" s="40"/>
      <c r="B47" s="41"/>
      <c r="C47" s="41"/>
      <c r="D47" s="41"/>
      <c r="E47" s="41"/>
      <c r="F47" s="41"/>
      <c r="G47" s="41"/>
      <c r="H47" s="41"/>
      <c r="I47" s="41"/>
      <c r="J47" s="41"/>
      <c r="K47" s="41"/>
      <c r="L47" s="41"/>
      <c r="M47" s="21"/>
      <c r="N47" s="22"/>
      <c r="O47" s="15"/>
      <c r="P47" s="15"/>
      <c r="Q47" s="15"/>
      <c r="R47" s="15"/>
      <c r="S47" s="15"/>
      <c r="T47" s="42"/>
      <c r="U47" s="20"/>
    </row>
    <row r="48" spans="1:21" s="8" customFormat="1" ht="15" hidden="1" customHeight="1" x14ac:dyDescent="0.25">
      <c r="A48" s="40"/>
      <c r="B48" s="41"/>
      <c r="C48" s="41"/>
      <c r="D48" s="41"/>
      <c r="E48" s="41"/>
      <c r="F48" s="41"/>
      <c r="G48" s="41"/>
      <c r="H48" s="41"/>
      <c r="I48" s="41"/>
      <c r="J48" s="41"/>
      <c r="K48" s="41"/>
      <c r="L48" s="41"/>
      <c r="M48" s="21"/>
      <c r="N48" s="22"/>
      <c r="O48" s="15"/>
      <c r="P48" s="15"/>
      <c r="Q48" s="15"/>
      <c r="R48" s="15"/>
      <c r="S48" s="15"/>
      <c r="T48" s="42"/>
      <c r="U48" s="20"/>
    </row>
    <row r="49" spans="1:34" s="8" customFormat="1" ht="61.5" customHeight="1" x14ac:dyDescent="0.25">
      <c r="A49" s="168">
        <v>20</v>
      </c>
      <c r="B49" s="169" t="s">
        <v>63</v>
      </c>
      <c r="C49" s="170" t="s">
        <v>64</v>
      </c>
      <c r="D49" s="148" t="s">
        <v>25</v>
      </c>
      <c r="E49" s="148" t="s">
        <v>26</v>
      </c>
      <c r="F49" s="148" t="s">
        <v>26</v>
      </c>
      <c r="G49" s="148" t="s">
        <v>26</v>
      </c>
      <c r="H49" s="148" t="s">
        <v>26</v>
      </c>
      <c r="I49" s="13">
        <f>SUM(J49:U49)</f>
        <v>5792083875.5799999</v>
      </c>
      <c r="J49" s="13">
        <f t="shared" ref="J49:U49" si="20">J52+J102</f>
        <v>372889129.33999997</v>
      </c>
      <c r="K49" s="13">
        <f t="shared" si="20"/>
        <v>424396537.21000004</v>
      </c>
      <c r="L49" s="13">
        <f t="shared" si="20"/>
        <v>452889558.25</v>
      </c>
      <c r="M49" s="15">
        <f t="shared" si="20"/>
        <v>512472449.95000005</v>
      </c>
      <c r="N49" s="15">
        <f t="shared" si="20"/>
        <v>489229392.56000006</v>
      </c>
      <c r="O49" s="15">
        <f t="shared" si="20"/>
        <v>504396594.04000002</v>
      </c>
      <c r="P49" s="16">
        <f t="shared" si="20"/>
        <v>409330296.53000003</v>
      </c>
      <c r="Q49" s="16">
        <f t="shared" si="20"/>
        <v>559468420.42999995</v>
      </c>
      <c r="R49" s="16">
        <f>R52+R102</f>
        <v>613502888.38999999</v>
      </c>
      <c r="S49" s="16">
        <f t="shared" si="20"/>
        <v>501572884.72000003</v>
      </c>
      <c r="T49" s="16">
        <f t="shared" si="20"/>
        <v>475932424.12</v>
      </c>
      <c r="U49" s="16">
        <f t="shared" si="20"/>
        <v>476003300.04000002</v>
      </c>
    </row>
    <row r="50" spans="1:34" s="8" customFormat="1" ht="61.5" customHeight="1" x14ac:dyDescent="0.25">
      <c r="A50" s="168"/>
      <c r="B50" s="169"/>
      <c r="C50" s="170"/>
      <c r="D50" s="148" t="s">
        <v>27</v>
      </c>
      <c r="E50" s="148" t="s">
        <v>26</v>
      </c>
      <c r="F50" s="148" t="s">
        <v>26</v>
      </c>
      <c r="G50" s="148" t="s">
        <v>26</v>
      </c>
      <c r="H50" s="148" t="s">
        <v>26</v>
      </c>
      <c r="I50" s="13">
        <f t="shared" ref="I50:I51" si="21">SUM(J50:U50)</f>
        <v>867524318.79999995</v>
      </c>
      <c r="J50" s="13">
        <f>J78</f>
        <v>6205500</v>
      </c>
      <c r="K50" s="13">
        <f>K78</f>
        <v>5646328</v>
      </c>
      <c r="L50" s="13">
        <f>L78</f>
        <v>8111483.2999999998</v>
      </c>
      <c r="M50" s="15">
        <f>M78+M82</f>
        <v>41350284</v>
      </c>
      <c r="N50" s="15">
        <f>N53</f>
        <v>38620065.890000001</v>
      </c>
      <c r="O50" s="15">
        <f>O53</f>
        <v>41178378.030000001</v>
      </c>
      <c r="P50" s="16">
        <f>P53</f>
        <v>66175546.780000001</v>
      </c>
      <c r="Q50" s="16">
        <f>Q78</f>
        <v>113061754.48999999</v>
      </c>
      <c r="R50" s="16">
        <f>R78</f>
        <v>190457678.31</v>
      </c>
      <c r="S50" s="16">
        <f>S78</f>
        <v>161704900</v>
      </c>
      <c r="T50" s="16">
        <f>T78</f>
        <v>97506200</v>
      </c>
      <c r="U50" s="16">
        <f>U78</f>
        <v>97506200</v>
      </c>
    </row>
    <row r="51" spans="1:34" s="8" customFormat="1" ht="115.5" customHeight="1" x14ac:dyDescent="0.25">
      <c r="A51" s="168"/>
      <c r="B51" s="169"/>
      <c r="C51" s="170"/>
      <c r="D51" s="148" t="s">
        <v>28</v>
      </c>
      <c r="E51" s="148" t="s">
        <v>26</v>
      </c>
      <c r="F51" s="148" t="s">
        <v>26</v>
      </c>
      <c r="G51" s="148" t="s">
        <v>26</v>
      </c>
      <c r="H51" s="148" t="s">
        <v>26</v>
      </c>
      <c r="I51" s="13">
        <f t="shared" si="21"/>
        <v>52002482</v>
      </c>
      <c r="J51" s="13">
        <v>0</v>
      </c>
      <c r="K51" s="13">
        <v>0</v>
      </c>
      <c r="L51" s="13">
        <v>0</v>
      </c>
      <c r="M51" s="15">
        <v>0</v>
      </c>
      <c r="N51" s="15">
        <f t="shared" ref="N51:Q51" si="22">N66</f>
        <v>493882</v>
      </c>
      <c r="O51" s="15">
        <f t="shared" si="22"/>
        <v>0</v>
      </c>
      <c r="P51" s="15">
        <f t="shared" si="22"/>
        <v>0</v>
      </c>
      <c r="Q51" s="15">
        <f t="shared" si="22"/>
        <v>0</v>
      </c>
      <c r="R51" s="15">
        <f>R54</f>
        <v>36958600</v>
      </c>
      <c r="S51" s="15">
        <f t="shared" ref="S51:T51" si="23">S54</f>
        <v>14550000</v>
      </c>
      <c r="T51" s="15">
        <f t="shared" si="23"/>
        <v>0</v>
      </c>
      <c r="U51" s="15">
        <f t="shared" ref="U51" si="24">U66</f>
        <v>0</v>
      </c>
    </row>
    <row r="52" spans="1:34" s="8" customFormat="1" ht="57.75" customHeight="1" x14ac:dyDescent="0.25">
      <c r="A52" s="168">
        <v>21</v>
      </c>
      <c r="B52" s="169" t="s">
        <v>65</v>
      </c>
      <c r="C52" s="170" t="s">
        <v>64</v>
      </c>
      <c r="D52" s="148" t="s">
        <v>25</v>
      </c>
      <c r="E52" s="148" t="s">
        <v>26</v>
      </c>
      <c r="F52" s="148" t="s">
        <v>26</v>
      </c>
      <c r="G52" s="148" t="s">
        <v>26</v>
      </c>
      <c r="H52" s="148" t="s">
        <v>26</v>
      </c>
      <c r="I52" s="14">
        <f>SUM(J52:U52)</f>
        <v>5781147406.7600002</v>
      </c>
      <c r="J52" s="14">
        <f>J55+J56+J62+J63+J64+J83+J84</f>
        <v>372383529.33999997</v>
      </c>
      <c r="K52" s="14">
        <f>K55+K56+K62+K63+K64+K83+K84+K85+K86+K87+K88</f>
        <v>423682368.21000004</v>
      </c>
      <c r="L52" s="14">
        <f>L55+L56+L62+L63+L64+L83+L84+L85+L86+L89+L95+L94</f>
        <v>452291630.50999999</v>
      </c>
      <c r="M52" s="14">
        <f>M55+M56+M62+M63+M64+M83+M84+M85+M86+M89+M95</f>
        <v>511599919.39000005</v>
      </c>
      <c r="N52" s="14">
        <f t="shared" ref="N52:U52" si="25">N55+N56+N62+N63+N83+N84+N85+N86+N89+N95+N64</f>
        <v>488252244.59000003</v>
      </c>
      <c r="O52" s="14">
        <f t="shared" si="25"/>
        <v>503164936.19</v>
      </c>
      <c r="P52" s="14">
        <f t="shared" si="25"/>
        <v>409215875.33000004</v>
      </c>
      <c r="Q52" s="14">
        <f>Q55+Q56+Q62+Q63+Q83+Q84+Q85+Q86+Q89+Q95+Q64</f>
        <v>558813411.06999993</v>
      </c>
      <c r="R52" s="14">
        <f>R55+R56+R62+R63+R83+R84+R85+R86+R89+R95+R64</f>
        <v>612194883.25</v>
      </c>
      <c r="S52" s="14">
        <f>S55+S56+S62+S63+S83+S84+S85+S86+S89+S95+S64</f>
        <v>500252884.72000003</v>
      </c>
      <c r="T52" s="14">
        <f t="shared" si="25"/>
        <v>474612424.12</v>
      </c>
      <c r="U52" s="14">
        <f t="shared" si="25"/>
        <v>474683300.04000002</v>
      </c>
    </row>
    <row r="53" spans="1:34" s="8" customFormat="1" ht="57.75" customHeight="1" x14ac:dyDescent="0.25">
      <c r="A53" s="168"/>
      <c r="B53" s="169"/>
      <c r="C53" s="170"/>
      <c r="D53" s="148" t="s">
        <v>27</v>
      </c>
      <c r="E53" s="148" t="s">
        <v>26</v>
      </c>
      <c r="F53" s="148" t="s">
        <v>26</v>
      </c>
      <c r="G53" s="148" t="s">
        <v>26</v>
      </c>
      <c r="H53" s="148" t="s">
        <v>26</v>
      </c>
      <c r="I53" s="14">
        <f>SUM(J53:U53)</f>
        <v>869117368.27999997</v>
      </c>
      <c r="J53" s="14">
        <f>J78</f>
        <v>6205500</v>
      </c>
      <c r="K53" s="14">
        <f>K78</f>
        <v>5646328</v>
      </c>
      <c r="L53" s="14">
        <f>L78</f>
        <v>8111483.2999999998</v>
      </c>
      <c r="M53" s="16">
        <f>M78+M82</f>
        <v>41350284</v>
      </c>
      <c r="N53" s="16">
        <f>N73+N78</f>
        <v>38620065.890000001</v>
      </c>
      <c r="O53" s="16">
        <f>O73+O78</f>
        <v>41178378.030000001</v>
      </c>
      <c r="P53" s="16">
        <f>P73+P78</f>
        <v>66175546.780000001</v>
      </c>
      <c r="Q53" s="16">
        <f>Q73+Q78+Q101</f>
        <v>113061754.48999999</v>
      </c>
      <c r="R53" s="16">
        <f t="shared" ref="R53:U53" si="26">R73+R78+R101</f>
        <v>191600727.78999999</v>
      </c>
      <c r="S53" s="16">
        <f t="shared" si="26"/>
        <v>162154900</v>
      </c>
      <c r="T53" s="16">
        <f t="shared" si="26"/>
        <v>97506200</v>
      </c>
      <c r="U53" s="16">
        <f t="shared" si="26"/>
        <v>97506200</v>
      </c>
    </row>
    <row r="54" spans="1:34" s="8" customFormat="1" ht="123" customHeight="1" x14ac:dyDescent="0.25">
      <c r="A54" s="168"/>
      <c r="B54" s="169"/>
      <c r="C54" s="170"/>
      <c r="D54" s="148" t="s">
        <v>28</v>
      </c>
      <c r="E54" s="148" t="s">
        <v>26</v>
      </c>
      <c r="F54" s="148" t="s">
        <v>26</v>
      </c>
      <c r="G54" s="148" t="s">
        <v>26</v>
      </c>
      <c r="H54" s="148" t="s">
        <v>26</v>
      </c>
      <c r="I54" s="13">
        <f>SUM(J54:U54)</f>
        <v>52002482</v>
      </c>
      <c r="J54" s="15">
        <v>0</v>
      </c>
      <c r="K54" s="15">
        <v>0</v>
      </c>
      <c r="L54" s="15">
        <v>0</v>
      </c>
      <c r="M54" s="15">
        <v>0</v>
      </c>
      <c r="N54" s="15">
        <f t="shared" ref="N54:P54" si="27">N66</f>
        <v>493882</v>
      </c>
      <c r="O54" s="15">
        <f t="shared" si="27"/>
        <v>0</v>
      </c>
      <c r="P54" s="15">
        <f t="shared" si="27"/>
        <v>0</v>
      </c>
      <c r="Q54" s="15">
        <f>Q66+Q100</f>
        <v>0</v>
      </c>
      <c r="R54" s="15">
        <f t="shared" ref="R54:U54" si="28">R66+R100</f>
        <v>36958600</v>
      </c>
      <c r="S54" s="15">
        <f t="shared" si="28"/>
        <v>14550000</v>
      </c>
      <c r="T54" s="15">
        <f t="shared" si="28"/>
        <v>0</v>
      </c>
      <c r="U54" s="15">
        <f t="shared" si="28"/>
        <v>0</v>
      </c>
    </row>
    <row r="55" spans="1:34" s="8" customFormat="1" ht="63" customHeight="1" x14ac:dyDescent="0.25">
      <c r="A55" s="138">
        <v>22</v>
      </c>
      <c r="B55" s="145" t="s">
        <v>66</v>
      </c>
      <c r="C55" s="145" t="s">
        <v>56</v>
      </c>
      <c r="D55" s="145" t="s">
        <v>25</v>
      </c>
      <c r="E55" s="145" t="s">
        <v>26</v>
      </c>
      <c r="F55" s="145" t="s">
        <v>26</v>
      </c>
      <c r="G55" s="145" t="s">
        <v>26</v>
      </c>
      <c r="H55" s="145" t="s">
        <v>26</v>
      </c>
      <c r="I55" s="13">
        <f t="shared" ref="I55:I56" si="29">SUM(J55:U55)</f>
        <v>24923094.16</v>
      </c>
      <c r="J55" s="43">
        <f>5116734.6-597090.8</f>
        <v>4519643.8</v>
      </c>
      <c r="K55" s="43">
        <f>1558210-750000-57020</f>
        <v>751190</v>
      </c>
      <c r="L55" s="43">
        <v>1169630</v>
      </c>
      <c r="M55" s="44">
        <f>1200000-315702</f>
        <v>884298</v>
      </c>
      <c r="N55" s="44">
        <v>2352333.36</v>
      </c>
      <c r="O55" s="44">
        <v>2363999</v>
      </c>
      <c r="P55" s="44">
        <v>1185000</v>
      </c>
      <c r="Q55" s="44">
        <v>597000</v>
      </c>
      <c r="R55" s="44">
        <v>3900000</v>
      </c>
      <c r="S55" s="45">
        <v>2400000</v>
      </c>
      <c r="T55" s="45">
        <v>2400000</v>
      </c>
      <c r="U55" s="45">
        <v>2400000</v>
      </c>
      <c r="V55" s="1"/>
      <c r="W55" s="1"/>
      <c r="X55" s="1"/>
      <c r="Y55" s="1"/>
      <c r="Z55" s="1"/>
      <c r="AA55" s="1"/>
      <c r="AB55" s="1"/>
      <c r="AC55" s="1"/>
      <c r="AD55" s="1"/>
      <c r="AE55" s="1"/>
      <c r="AF55" s="1"/>
      <c r="AG55" s="1"/>
      <c r="AH55" s="1"/>
    </row>
    <row r="56" spans="1:34" s="8" customFormat="1" ht="47.25" customHeight="1" x14ac:dyDescent="0.25">
      <c r="A56" s="168">
        <v>23</v>
      </c>
      <c r="B56" s="170" t="s">
        <v>67</v>
      </c>
      <c r="C56" s="148" t="s">
        <v>68</v>
      </c>
      <c r="D56" s="148" t="s">
        <v>25</v>
      </c>
      <c r="E56" s="148" t="s">
        <v>26</v>
      </c>
      <c r="F56" s="148" t="s">
        <v>26</v>
      </c>
      <c r="G56" s="148" t="s">
        <v>26</v>
      </c>
      <c r="H56" s="148" t="s">
        <v>26</v>
      </c>
      <c r="I56" s="13">
        <f t="shared" si="29"/>
        <v>131778068</v>
      </c>
      <c r="J56" s="13">
        <f t="shared" ref="J56:U56" si="30">J58+J59+J60+J61</f>
        <v>8372406.8499999996</v>
      </c>
      <c r="K56" s="13">
        <f t="shared" si="30"/>
        <v>7098243.0200000005</v>
      </c>
      <c r="L56" s="13">
        <f t="shared" si="30"/>
        <v>6017626.6799999997</v>
      </c>
      <c r="M56" s="15">
        <f t="shared" si="30"/>
        <v>5670804.4100000001</v>
      </c>
      <c r="N56" s="15">
        <f t="shared" si="30"/>
        <v>6297393.8399999999</v>
      </c>
      <c r="O56" s="15">
        <f t="shared" si="30"/>
        <v>9780490.4800000004</v>
      </c>
      <c r="P56" s="16">
        <f t="shared" si="30"/>
        <v>11413699.630000001</v>
      </c>
      <c r="Q56" s="16">
        <f>Q58+Q59+Q60+Q61</f>
        <v>13122239.82</v>
      </c>
      <c r="R56" s="16">
        <f t="shared" si="30"/>
        <v>17191953.27</v>
      </c>
      <c r="S56" s="16">
        <f t="shared" si="30"/>
        <v>14599012</v>
      </c>
      <c r="T56" s="17">
        <f t="shared" si="30"/>
        <v>16107099</v>
      </c>
      <c r="U56" s="16">
        <f t="shared" si="30"/>
        <v>16107099</v>
      </c>
      <c r="V56" s="1"/>
      <c r="W56" s="1"/>
      <c r="X56" s="1"/>
      <c r="Y56" s="1"/>
      <c r="Z56" s="1"/>
      <c r="AA56" s="1"/>
      <c r="AB56" s="1"/>
      <c r="AC56" s="1"/>
      <c r="AD56" s="1"/>
      <c r="AE56" s="1"/>
      <c r="AF56" s="1"/>
      <c r="AG56" s="1"/>
      <c r="AH56" s="1"/>
    </row>
    <row r="57" spans="1:34" s="8" customFormat="1" ht="20.25" customHeight="1" x14ac:dyDescent="0.25">
      <c r="A57" s="168"/>
      <c r="B57" s="170"/>
      <c r="C57" s="148" t="s">
        <v>41</v>
      </c>
      <c r="D57" s="182"/>
      <c r="E57" s="183"/>
      <c r="F57" s="183"/>
      <c r="G57" s="183"/>
      <c r="H57" s="183"/>
      <c r="I57" s="183"/>
      <c r="J57" s="183"/>
      <c r="K57" s="183"/>
      <c r="L57" s="184"/>
      <c r="M57" s="21"/>
      <c r="N57" s="22"/>
      <c r="O57" s="15"/>
      <c r="P57" s="15"/>
      <c r="Q57" s="15"/>
      <c r="R57" s="15"/>
      <c r="S57" s="42"/>
      <c r="T57" s="46"/>
      <c r="U57" s="20"/>
      <c r="V57" s="1"/>
      <c r="W57" s="1"/>
      <c r="X57" s="1"/>
      <c r="Y57" s="1"/>
      <c r="Z57" s="1"/>
      <c r="AA57" s="1"/>
      <c r="AB57" s="1"/>
      <c r="AC57" s="1"/>
      <c r="AD57" s="1"/>
      <c r="AE57" s="1"/>
      <c r="AF57" s="1"/>
      <c r="AG57" s="1"/>
      <c r="AH57" s="1"/>
    </row>
    <row r="58" spans="1:34" s="8" customFormat="1" ht="39.75" customHeight="1" x14ac:dyDescent="0.25">
      <c r="A58" s="168"/>
      <c r="B58" s="170"/>
      <c r="C58" s="148" t="s">
        <v>45</v>
      </c>
      <c r="D58" s="148" t="s">
        <v>25</v>
      </c>
      <c r="E58" s="148" t="s">
        <v>26</v>
      </c>
      <c r="F58" s="148" t="s">
        <v>26</v>
      </c>
      <c r="G58" s="148" t="s">
        <v>26</v>
      </c>
      <c r="H58" s="148" t="s">
        <v>26</v>
      </c>
      <c r="I58" s="13">
        <f>SUM(J58:U58)</f>
        <v>27304896.66</v>
      </c>
      <c r="J58" s="13">
        <v>1924953.91</v>
      </c>
      <c r="K58" s="24">
        <f>1932600-260119.13-13036.05</f>
        <v>1659444.82</v>
      </c>
      <c r="L58" s="24">
        <v>1332555.4099999999</v>
      </c>
      <c r="M58" s="27">
        <f>1299966+131912.68</f>
        <v>1431878.68</v>
      </c>
      <c r="N58" s="27">
        <v>1430168.89</v>
      </c>
      <c r="O58" s="27">
        <v>1870289.81</v>
      </c>
      <c r="P58" s="15">
        <v>2570767.9700000002</v>
      </c>
      <c r="Q58" s="15">
        <v>2743811.74</v>
      </c>
      <c r="R58" s="15">
        <v>3985188.43</v>
      </c>
      <c r="S58" s="15">
        <v>2785279</v>
      </c>
      <c r="T58" s="15">
        <v>2785279</v>
      </c>
      <c r="U58" s="15">
        <v>2785279</v>
      </c>
      <c r="V58" s="1"/>
      <c r="W58" s="1"/>
      <c r="X58" s="1"/>
      <c r="Y58" s="1"/>
      <c r="Z58" s="1"/>
      <c r="AA58" s="1"/>
      <c r="AB58" s="1"/>
      <c r="AC58" s="1"/>
      <c r="AD58" s="1"/>
      <c r="AE58" s="1"/>
      <c r="AF58" s="1"/>
      <c r="AG58" s="1"/>
      <c r="AH58" s="1"/>
    </row>
    <row r="59" spans="1:34" s="8" customFormat="1" ht="39.75" customHeight="1" x14ac:dyDescent="0.25">
      <c r="A59" s="168"/>
      <c r="B59" s="170"/>
      <c r="C59" s="148" t="s">
        <v>69</v>
      </c>
      <c r="D59" s="148" t="s">
        <v>25</v>
      </c>
      <c r="E59" s="148" t="s">
        <v>26</v>
      </c>
      <c r="F59" s="148" t="s">
        <v>26</v>
      </c>
      <c r="G59" s="148" t="s">
        <v>26</v>
      </c>
      <c r="H59" s="148" t="s">
        <v>26</v>
      </c>
      <c r="I59" s="13">
        <f t="shared" ref="I59:I66" si="31">SUM(J59:U59)</f>
        <v>42010550.009999998</v>
      </c>
      <c r="J59" s="13">
        <v>2331361.5099999998</v>
      </c>
      <c r="K59" s="24">
        <f>2393405-6265.96</f>
        <v>2387139.04</v>
      </c>
      <c r="L59" s="24">
        <f>2393405-1000000+400000-32251.34</f>
        <v>1761153.66</v>
      </c>
      <c r="M59" s="27">
        <f>1793405-224088.61</f>
        <v>1569316.3900000001</v>
      </c>
      <c r="N59" s="27">
        <v>2599917.94</v>
      </c>
      <c r="O59" s="27">
        <v>3554426.61</v>
      </c>
      <c r="P59" s="15">
        <v>3306382.19</v>
      </c>
      <c r="Q59" s="15">
        <v>4844677.63</v>
      </c>
      <c r="R59" s="15">
        <v>4947319.04</v>
      </c>
      <c r="S59" s="15">
        <v>4902952</v>
      </c>
      <c r="T59" s="19">
        <v>4902952</v>
      </c>
      <c r="U59" s="15">
        <v>4902952</v>
      </c>
      <c r="V59" s="1"/>
      <c r="W59" s="1"/>
      <c r="X59" s="1"/>
      <c r="Y59" s="1"/>
      <c r="Z59" s="1"/>
      <c r="AA59" s="1"/>
      <c r="AB59" s="1"/>
      <c r="AC59" s="1"/>
      <c r="AD59" s="1"/>
      <c r="AE59" s="1"/>
      <c r="AF59" s="1"/>
      <c r="AG59" s="1"/>
      <c r="AH59" s="1"/>
    </row>
    <row r="60" spans="1:34" s="8" customFormat="1" ht="39.75" customHeight="1" x14ac:dyDescent="0.25">
      <c r="A60" s="168"/>
      <c r="B60" s="170"/>
      <c r="C60" s="148" t="s">
        <v>43</v>
      </c>
      <c r="D60" s="148" t="s">
        <v>25</v>
      </c>
      <c r="E60" s="148" t="s">
        <v>26</v>
      </c>
      <c r="F60" s="148" t="s">
        <v>26</v>
      </c>
      <c r="G60" s="148" t="s">
        <v>26</v>
      </c>
      <c r="H60" s="148" t="s">
        <v>26</v>
      </c>
      <c r="I60" s="13">
        <f t="shared" si="31"/>
        <v>25622602.289999999</v>
      </c>
      <c r="J60" s="13">
        <v>1945731</v>
      </c>
      <c r="K60" s="24">
        <f>1700000-321922-18696.08</f>
        <v>1359381.92</v>
      </c>
      <c r="L60" s="24">
        <v>1099997.1599999999</v>
      </c>
      <c r="M60" s="24">
        <f>1700000-1200000+600000-170484.25</f>
        <v>929515.75</v>
      </c>
      <c r="N60" s="24">
        <f>1000000-2.64</f>
        <v>999997.36</v>
      </c>
      <c r="O60" s="15">
        <v>1598479.26</v>
      </c>
      <c r="P60" s="15">
        <v>2271800.87</v>
      </c>
      <c r="Q60" s="15">
        <v>2160932.31</v>
      </c>
      <c r="R60" s="15">
        <v>3571649.66</v>
      </c>
      <c r="S60" s="15">
        <v>2222981</v>
      </c>
      <c r="T60" s="19">
        <v>3731068</v>
      </c>
      <c r="U60" s="19">
        <v>3731068</v>
      </c>
      <c r="V60" s="1"/>
      <c r="W60" s="1"/>
      <c r="X60" s="1"/>
      <c r="Y60" s="1"/>
      <c r="Z60" s="1"/>
      <c r="AA60" s="1"/>
      <c r="AB60" s="1"/>
      <c r="AC60" s="1"/>
      <c r="AD60" s="1"/>
      <c r="AE60" s="1"/>
      <c r="AF60" s="1"/>
      <c r="AG60" s="1"/>
      <c r="AH60" s="1"/>
    </row>
    <row r="61" spans="1:34" s="8" customFormat="1" ht="39.75" customHeight="1" x14ac:dyDescent="0.25">
      <c r="A61" s="168"/>
      <c r="B61" s="170"/>
      <c r="C61" s="148" t="s">
        <v>44</v>
      </c>
      <c r="D61" s="148" t="s">
        <v>25</v>
      </c>
      <c r="E61" s="148" t="s">
        <v>26</v>
      </c>
      <c r="F61" s="148" t="s">
        <v>26</v>
      </c>
      <c r="G61" s="148" t="s">
        <v>26</v>
      </c>
      <c r="H61" s="148" t="s">
        <v>26</v>
      </c>
      <c r="I61" s="13">
        <f t="shared" si="31"/>
        <v>36840019.039999999</v>
      </c>
      <c r="J61" s="13">
        <v>2170360.4300000002</v>
      </c>
      <c r="K61" s="24">
        <f>2093747-401301-168.76</f>
        <v>1692277.24</v>
      </c>
      <c r="L61" s="24">
        <v>1823920.45</v>
      </c>
      <c r="M61" s="27">
        <f>1903307-163213.41</f>
        <v>1740093.59</v>
      </c>
      <c r="N61" s="27">
        <v>1267309.6499999999</v>
      </c>
      <c r="O61" s="27">
        <v>2757294.8</v>
      </c>
      <c r="P61" s="27">
        <v>3264748.6</v>
      </c>
      <c r="Q61" s="27">
        <v>3372818.14</v>
      </c>
      <c r="R61" s="15">
        <v>4687796.1399999997</v>
      </c>
      <c r="S61" s="15">
        <v>4687800</v>
      </c>
      <c r="T61" s="15">
        <v>4687800</v>
      </c>
      <c r="U61" s="15">
        <v>4687800</v>
      </c>
      <c r="V61" s="1"/>
      <c r="W61" s="1"/>
      <c r="X61" s="1"/>
      <c r="Y61" s="1"/>
      <c r="Z61" s="1"/>
      <c r="AA61" s="1"/>
      <c r="AB61" s="1"/>
      <c r="AC61" s="1"/>
      <c r="AD61" s="1"/>
      <c r="AE61" s="1"/>
      <c r="AF61" s="1"/>
      <c r="AG61" s="1"/>
      <c r="AH61" s="1"/>
    </row>
    <row r="62" spans="1:34" s="8" customFormat="1" ht="66" customHeight="1" x14ac:dyDescent="0.25">
      <c r="A62" s="136">
        <v>24</v>
      </c>
      <c r="B62" s="143" t="s">
        <v>70</v>
      </c>
      <c r="C62" s="148" t="s">
        <v>71</v>
      </c>
      <c r="D62" s="148" t="s">
        <v>25</v>
      </c>
      <c r="E62" s="148" t="s">
        <v>26</v>
      </c>
      <c r="F62" s="148" t="s">
        <v>26</v>
      </c>
      <c r="G62" s="148" t="s">
        <v>26</v>
      </c>
      <c r="H62" s="148" t="s">
        <v>26</v>
      </c>
      <c r="I62" s="13">
        <f t="shared" si="31"/>
        <v>1754103189.0999999</v>
      </c>
      <c r="J62" s="13">
        <f>99362389.41+5000000+2500000</f>
        <v>106862389.41</v>
      </c>
      <c r="K62" s="13">
        <f>97362389+9000000+4922806.3+2077193.7</f>
        <v>113362389</v>
      </c>
      <c r="L62" s="13">
        <v>121652713.86</v>
      </c>
      <c r="M62" s="15">
        <f>145079104+1700000-1722790.01</f>
        <v>145056313.99000001</v>
      </c>
      <c r="N62" s="15">
        <v>139638143.03</v>
      </c>
      <c r="O62" s="15">
        <v>143007200</v>
      </c>
      <c r="P62" s="15">
        <v>139802200</v>
      </c>
      <c r="Q62" s="15">
        <v>140802200</v>
      </c>
      <c r="R62" s="15">
        <v>152337416.81</v>
      </c>
      <c r="S62" s="15">
        <v>183860741</v>
      </c>
      <c r="T62" s="15">
        <v>183860741</v>
      </c>
      <c r="U62" s="15">
        <v>183860741</v>
      </c>
      <c r="V62" s="1"/>
      <c r="W62" s="1"/>
      <c r="X62" s="1"/>
      <c r="Y62" s="1"/>
      <c r="Z62" s="1"/>
      <c r="AA62" s="1"/>
      <c r="AB62" s="1"/>
      <c r="AC62" s="1"/>
      <c r="AD62" s="1"/>
      <c r="AE62" s="1"/>
      <c r="AF62" s="1"/>
      <c r="AG62" s="1"/>
      <c r="AH62" s="1"/>
    </row>
    <row r="63" spans="1:34" s="8" customFormat="1" ht="49.5" customHeight="1" x14ac:dyDescent="0.25">
      <c r="A63" s="136">
        <v>25</v>
      </c>
      <c r="B63" s="148" t="s">
        <v>72</v>
      </c>
      <c r="C63" s="148" t="s">
        <v>73</v>
      </c>
      <c r="D63" s="148" t="s">
        <v>25</v>
      </c>
      <c r="E63" s="148" t="s">
        <v>26</v>
      </c>
      <c r="F63" s="148" t="s">
        <v>26</v>
      </c>
      <c r="G63" s="148" t="s">
        <v>26</v>
      </c>
      <c r="H63" s="148" t="s">
        <v>26</v>
      </c>
      <c r="I63" s="13">
        <f t="shared" si="31"/>
        <v>1958770751.1400003</v>
      </c>
      <c r="J63" s="13">
        <f>177700000+4600000-1410059.59-1199940.4</f>
        <v>179690000.00999999</v>
      </c>
      <c r="K63" s="13">
        <f>190154874.28+159866.72+1500000+1840133.28</f>
        <v>193654874.28</v>
      </c>
      <c r="L63" s="13">
        <f>215505954.83+198000</f>
        <v>215703954.83000001</v>
      </c>
      <c r="M63" s="15">
        <v>218465347.84</v>
      </c>
      <c r="N63" s="15">
        <v>208381117.22</v>
      </c>
      <c r="O63" s="15">
        <f>136790266.83+58452319.31</f>
        <v>195242586.14000002</v>
      </c>
      <c r="P63" s="15">
        <v>114611997.98999999</v>
      </c>
      <c r="Q63" s="15">
        <v>106345182.90000001</v>
      </c>
      <c r="R63" s="15">
        <v>137818002.84999999</v>
      </c>
      <c r="S63" s="39">
        <v>147959634.68000001</v>
      </c>
      <c r="T63" s="47">
        <v>120449026.2</v>
      </c>
      <c r="U63" s="47">
        <v>120449026.2</v>
      </c>
      <c r="V63" s="1"/>
      <c r="W63" s="1"/>
      <c r="X63" s="1"/>
      <c r="Y63" s="1"/>
      <c r="Z63" s="1"/>
      <c r="AA63" s="1"/>
      <c r="AB63" s="1"/>
      <c r="AC63" s="1"/>
      <c r="AD63" s="1"/>
      <c r="AE63" s="1"/>
      <c r="AF63" s="1"/>
      <c r="AG63" s="1"/>
      <c r="AH63" s="1"/>
    </row>
    <row r="64" spans="1:34" s="8" customFormat="1" ht="45" customHeight="1" x14ac:dyDescent="0.25">
      <c r="A64" s="171">
        <v>26</v>
      </c>
      <c r="B64" s="173" t="s">
        <v>74</v>
      </c>
      <c r="C64" s="173" t="s">
        <v>288</v>
      </c>
      <c r="D64" s="148" t="s">
        <v>25</v>
      </c>
      <c r="E64" s="148" t="s">
        <v>26</v>
      </c>
      <c r="F64" s="148" t="s">
        <v>26</v>
      </c>
      <c r="G64" s="148" t="s">
        <v>26</v>
      </c>
      <c r="H64" s="148" t="s">
        <v>26</v>
      </c>
      <c r="I64" s="13">
        <f>SUM(J64:U64)</f>
        <v>790699679.28000009</v>
      </c>
      <c r="J64" s="15">
        <f t="shared" ref="J64:Q64" si="32">J68+J69+J70+J71+J72+J76+J77</f>
        <v>44027696.36999999</v>
      </c>
      <c r="K64" s="15">
        <f t="shared" si="32"/>
        <v>29521452.669999998</v>
      </c>
      <c r="L64" s="15">
        <f t="shared" si="32"/>
        <v>29433094.98</v>
      </c>
      <c r="M64" s="15">
        <f t="shared" si="32"/>
        <v>36920773.090000004</v>
      </c>
      <c r="N64" s="15">
        <f t="shared" si="32"/>
        <v>40564309.119999997</v>
      </c>
      <c r="O64" s="15">
        <f t="shared" si="32"/>
        <v>51058397.690000005</v>
      </c>
      <c r="P64" s="16">
        <f t="shared" si="32"/>
        <v>37333418.049999997</v>
      </c>
      <c r="Q64" s="16">
        <f t="shared" si="32"/>
        <v>192647213.06999999</v>
      </c>
      <c r="R64" s="16">
        <f>R68+R69+R70+R71+R72+R76+R77+R75</f>
        <v>191485486.40999997</v>
      </c>
      <c r="S64" s="16">
        <f t="shared" ref="S64:U64" si="33">S68+S69+S70+S71+S72+S76+S77+S75</f>
        <v>45902612.609999999</v>
      </c>
      <c r="T64" s="16">
        <f t="shared" si="33"/>
        <v>45902612.609999999</v>
      </c>
      <c r="U64" s="16">
        <f t="shared" si="33"/>
        <v>45902612.609999999</v>
      </c>
      <c r="V64" s="1"/>
      <c r="W64" s="1"/>
      <c r="X64" s="1"/>
      <c r="Y64" s="1"/>
      <c r="Z64" s="1"/>
      <c r="AA64" s="1"/>
      <c r="AB64" s="1"/>
      <c r="AC64" s="1"/>
      <c r="AD64" s="1"/>
      <c r="AE64" s="1"/>
      <c r="AF64" s="1"/>
      <c r="AG64" s="1"/>
      <c r="AH64" s="1"/>
    </row>
    <row r="65" spans="1:34" s="8" customFormat="1" ht="45" customHeight="1" x14ac:dyDescent="0.25">
      <c r="A65" s="186"/>
      <c r="B65" s="187"/>
      <c r="C65" s="187"/>
      <c r="D65" s="148" t="s">
        <v>27</v>
      </c>
      <c r="E65" s="148" t="s">
        <v>26</v>
      </c>
      <c r="F65" s="148" t="s">
        <v>26</v>
      </c>
      <c r="G65" s="148" t="s">
        <v>26</v>
      </c>
      <c r="H65" s="148" t="s">
        <v>26</v>
      </c>
      <c r="I65" s="13">
        <f t="shared" si="31"/>
        <v>78293.100000000006</v>
      </c>
      <c r="J65" s="13">
        <f t="shared" ref="J65:U66" si="34">J73</f>
        <v>0</v>
      </c>
      <c r="K65" s="13">
        <f t="shared" si="34"/>
        <v>0</v>
      </c>
      <c r="L65" s="13">
        <f t="shared" si="34"/>
        <v>0</v>
      </c>
      <c r="M65" s="13">
        <f t="shared" si="34"/>
        <v>0</v>
      </c>
      <c r="N65" s="13">
        <f t="shared" si="34"/>
        <v>78293.100000000006</v>
      </c>
      <c r="O65" s="13">
        <f t="shared" si="34"/>
        <v>0</v>
      </c>
      <c r="P65" s="13">
        <f t="shared" si="34"/>
        <v>0</v>
      </c>
      <c r="Q65" s="13">
        <f t="shared" si="34"/>
        <v>0</v>
      </c>
      <c r="R65" s="13">
        <f t="shared" si="34"/>
        <v>0</v>
      </c>
      <c r="S65" s="13">
        <f t="shared" si="34"/>
        <v>0</v>
      </c>
      <c r="T65" s="48">
        <f t="shared" si="34"/>
        <v>0</v>
      </c>
      <c r="U65" s="48">
        <f t="shared" si="34"/>
        <v>0</v>
      </c>
      <c r="V65" s="1"/>
      <c r="W65" s="1"/>
      <c r="X65" s="1"/>
      <c r="Y65" s="1"/>
      <c r="Z65" s="1"/>
      <c r="AA65" s="1"/>
      <c r="AB65" s="1"/>
      <c r="AC65" s="1"/>
      <c r="AD65" s="1"/>
      <c r="AE65" s="1"/>
      <c r="AF65" s="1"/>
      <c r="AG65" s="1"/>
      <c r="AH65" s="1"/>
    </row>
    <row r="66" spans="1:34" s="8" customFormat="1" ht="81.75" customHeight="1" x14ac:dyDescent="0.25">
      <c r="A66" s="186"/>
      <c r="B66" s="187"/>
      <c r="C66" s="174"/>
      <c r="D66" s="148" t="s">
        <v>28</v>
      </c>
      <c r="E66" s="148" t="s">
        <v>26</v>
      </c>
      <c r="F66" s="148" t="s">
        <v>26</v>
      </c>
      <c r="G66" s="148" t="s">
        <v>26</v>
      </c>
      <c r="H66" s="148" t="s">
        <v>26</v>
      </c>
      <c r="I66" s="13">
        <f t="shared" si="31"/>
        <v>493882</v>
      </c>
      <c r="J66" s="13">
        <f t="shared" si="34"/>
        <v>0</v>
      </c>
      <c r="K66" s="13">
        <f t="shared" si="34"/>
        <v>0</v>
      </c>
      <c r="L66" s="13">
        <f t="shared" si="34"/>
        <v>0</v>
      </c>
      <c r="M66" s="13">
        <f t="shared" si="34"/>
        <v>0</v>
      </c>
      <c r="N66" s="13">
        <f t="shared" si="34"/>
        <v>493882</v>
      </c>
      <c r="O66" s="13">
        <f t="shared" si="34"/>
        <v>0</v>
      </c>
      <c r="P66" s="13">
        <f t="shared" si="34"/>
        <v>0</v>
      </c>
      <c r="Q66" s="13">
        <f t="shared" si="34"/>
        <v>0</v>
      </c>
      <c r="R66" s="13">
        <f t="shared" si="34"/>
        <v>0</v>
      </c>
      <c r="S66" s="13">
        <f t="shared" si="34"/>
        <v>0</v>
      </c>
      <c r="T66" s="48">
        <f t="shared" si="34"/>
        <v>0</v>
      </c>
      <c r="U66" s="48">
        <f t="shared" si="34"/>
        <v>0</v>
      </c>
      <c r="V66" s="1"/>
      <c r="W66" s="1"/>
      <c r="X66" s="1"/>
      <c r="Y66" s="1"/>
      <c r="Z66" s="1"/>
      <c r="AA66" s="1"/>
      <c r="AB66" s="1"/>
      <c r="AC66" s="1"/>
      <c r="AD66" s="1"/>
      <c r="AE66" s="1"/>
      <c r="AF66" s="1"/>
      <c r="AG66" s="1"/>
      <c r="AH66" s="1"/>
    </row>
    <row r="67" spans="1:34" s="8" customFormat="1" x14ac:dyDescent="0.25">
      <c r="A67" s="186"/>
      <c r="B67" s="187"/>
      <c r="C67" s="148" t="s">
        <v>41</v>
      </c>
      <c r="D67" s="148"/>
      <c r="E67" s="148"/>
      <c r="F67" s="148"/>
      <c r="G67" s="148"/>
      <c r="H67" s="148"/>
      <c r="I67" s="13"/>
      <c r="J67" s="13"/>
      <c r="K67" s="13"/>
      <c r="L67" s="13"/>
      <c r="M67" s="15"/>
      <c r="N67" s="22"/>
      <c r="O67" s="15"/>
      <c r="P67" s="15"/>
      <c r="Q67" s="15"/>
      <c r="R67" s="15"/>
      <c r="S67" s="42"/>
      <c r="T67" s="46"/>
      <c r="U67" s="20"/>
      <c r="V67" s="1"/>
      <c r="W67" s="1"/>
      <c r="X67" s="1"/>
      <c r="Y67" s="1"/>
      <c r="Z67" s="1"/>
      <c r="AA67" s="1"/>
      <c r="AB67" s="1"/>
      <c r="AC67" s="1"/>
      <c r="AD67" s="1"/>
      <c r="AE67" s="1"/>
      <c r="AF67" s="1"/>
      <c r="AG67" s="1"/>
      <c r="AH67" s="1"/>
    </row>
    <row r="68" spans="1:34" s="8" customFormat="1" ht="43.5" customHeight="1" x14ac:dyDescent="0.25">
      <c r="A68" s="186"/>
      <c r="B68" s="187"/>
      <c r="C68" s="148" t="s">
        <v>42</v>
      </c>
      <c r="D68" s="148" t="s">
        <v>25</v>
      </c>
      <c r="E68" s="148" t="s">
        <v>26</v>
      </c>
      <c r="F68" s="148" t="s">
        <v>26</v>
      </c>
      <c r="G68" s="148" t="s">
        <v>26</v>
      </c>
      <c r="H68" s="148" t="s">
        <v>26</v>
      </c>
      <c r="I68" s="13">
        <f>SUM(J68:U68)</f>
        <v>11017916.449999999</v>
      </c>
      <c r="J68" s="13">
        <f>252000</f>
        <v>252000</v>
      </c>
      <c r="K68" s="24">
        <f>428400-229000-200</f>
        <v>199200</v>
      </c>
      <c r="L68" s="24">
        <f>298150</f>
        <v>298150</v>
      </c>
      <c r="M68" s="27">
        <f>334000-46700.25</f>
        <v>287299.75</v>
      </c>
      <c r="N68" s="27">
        <v>330000</v>
      </c>
      <c r="O68" s="27">
        <v>553333.35</v>
      </c>
      <c r="P68" s="27">
        <v>1106666.69</v>
      </c>
      <c r="Q68" s="27">
        <v>1187333.3600000001</v>
      </c>
      <c r="R68" s="27">
        <v>1643333.3</v>
      </c>
      <c r="S68" s="27">
        <v>1720200</v>
      </c>
      <c r="T68" s="49">
        <v>1720200</v>
      </c>
      <c r="U68" s="49">
        <v>1720200</v>
      </c>
      <c r="V68" s="1"/>
      <c r="W68" s="1"/>
      <c r="X68" s="1"/>
      <c r="Y68" s="1"/>
      <c r="Z68" s="1"/>
      <c r="AA68" s="1"/>
      <c r="AB68" s="1"/>
      <c r="AC68" s="1"/>
      <c r="AD68" s="1"/>
      <c r="AE68" s="1"/>
      <c r="AF68" s="1"/>
      <c r="AG68" s="1"/>
      <c r="AH68" s="1"/>
    </row>
    <row r="69" spans="1:34" s="8" customFormat="1" ht="43.5" customHeight="1" x14ac:dyDescent="0.25">
      <c r="A69" s="186"/>
      <c r="B69" s="187"/>
      <c r="C69" s="148" t="s">
        <v>43</v>
      </c>
      <c r="D69" s="148" t="s">
        <v>25</v>
      </c>
      <c r="E69" s="148" t="s">
        <v>26</v>
      </c>
      <c r="F69" s="148" t="s">
        <v>26</v>
      </c>
      <c r="G69" s="148" t="s">
        <v>26</v>
      </c>
      <c r="H69" s="148" t="s">
        <v>26</v>
      </c>
      <c r="I69" s="13">
        <f t="shared" ref="I69:I78" si="35">SUM(J69:U69)</f>
        <v>8573124.5099999998</v>
      </c>
      <c r="J69" s="13">
        <f>239435+91000</f>
        <v>330435</v>
      </c>
      <c r="K69" s="24">
        <f>180073-833+70000-95857</f>
        <v>153383</v>
      </c>
      <c r="L69" s="24">
        <v>349978.55</v>
      </c>
      <c r="M69" s="27">
        <f>419650.95-10000-74307</f>
        <v>335343.95</v>
      </c>
      <c r="N69" s="15">
        <f>634300-18247.2</f>
        <v>616052.80000000005</v>
      </c>
      <c r="O69" s="15">
        <v>589332</v>
      </c>
      <c r="P69" s="15">
        <v>887140</v>
      </c>
      <c r="Q69" s="15">
        <v>845663.68</v>
      </c>
      <c r="R69" s="27">
        <v>1075795.53</v>
      </c>
      <c r="S69" s="27">
        <v>1130000</v>
      </c>
      <c r="T69" s="49">
        <v>1130000</v>
      </c>
      <c r="U69" s="49">
        <v>1130000</v>
      </c>
      <c r="V69" s="1"/>
      <c r="W69" s="1"/>
      <c r="X69" s="1"/>
      <c r="Y69" s="1"/>
      <c r="Z69" s="1"/>
      <c r="AA69" s="1"/>
      <c r="AB69" s="1"/>
      <c r="AC69" s="1"/>
      <c r="AD69" s="1"/>
      <c r="AE69" s="1"/>
      <c r="AF69" s="1"/>
      <c r="AG69" s="1"/>
      <c r="AH69" s="1"/>
    </row>
    <row r="70" spans="1:34" s="8" customFormat="1" ht="43.5" customHeight="1" x14ac:dyDescent="0.25">
      <c r="A70" s="186"/>
      <c r="B70" s="187"/>
      <c r="C70" s="148" t="s">
        <v>44</v>
      </c>
      <c r="D70" s="148" t="s">
        <v>25</v>
      </c>
      <c r="E70" s="148" t="s">
        <v>26</v>
      </c>
      <c r="F70" s="148" t="s">
        <v>26</v>
      </c>
      <c r="G70" s="148" t="s">
        <v>26</v>
      </c>
      <c r="H70" s="148" t="s">
        <v>26</v>
      </c>
      <c r="I70" s="13">
        <f t="shared" si="35"/>
        <v>12624323.43</v>
      </c>
      <c r="J70" s="13">
        <v>117300</v>
      </c>
      <c r="K70" s="24">
        <v>162400</v>
      </c>
      <c r="L70" s="24">
        <v>305850</v>
      </c>
      <c r="M70" s="27">
        <f>410000-93+80000</f>
        <v>489907</v>
      </c>
      <c r="N70" s="27">
        <v>530580</v>
      </c>
      <c r="O70" s="27">
        <v>995737</v>
      </c>
      <c r="P70" s="27">
        <v>1268333</v>
      </c>
      <c r="Q70" s="27">
        <v>1470000.03</v>
      </c>
      <c r="R70" s="27">
        <v>1608216.4</v>
      </c>
      <c r="S70" s="27">
        <v>1892000</v>
      </c>
      <c r="T70" s="27">
        <v>1892000</v>
      </c>
      <c r="U70" s="27">
        <v>1892000</v>
      </c>
      <c r="V70" s="1"/>
      <c r="W70" s="1"/>
      <c r="X70" s="1"/>
      <c r="Y70" s="1"/>
      <c r="Z70" s="1"/>
      <c r="AA70" s="1"/>
      <c r="AB70" s="1"/>
      <c r="AC70" s="1"/>
      <c r="AD70" s="1"/>
      <c r="AE70" s="1"/>
      <c r="AF70" s="1"/>
      <c r="AG70" s="1"/>
      <c r="AH70" s="1"/>
    </row>
    <row r="71" spans="1:34" s="8" customFormat="1" ht="43.5" customHeight="1" x14ac:dyDescent="0.25">
      <c r="A71" s="186"/>
      <c r="B71" s="187"/>
      <c r="C71" s="148" t="s">
        <v>45</v>
      </c>
      <c r="D71" s="148" t="s">
        <v>25</v>
      </c>
      <c r="E71" s="148" t="s">
        <v>26</v>
      </c>
      <c r="F71" s="148" t="s">
        <v>26</v>
      </c>
      <c r="G71" s="148" t="s">
        <v>26</v>
      </c>
      <c r="H71" s="148" t="s">
        <v>26</v>
      </c>
      <c r="I71" s="13">
        <f t="shared" si="35"/>
        <v>4106718.98</v>
      </c>
      <c r="J71" s="13">
        <v>28093.98</v>
      </c>
      <c r="K71" s="24">
        <v>0</v>
      </c>
      <c r="L71" s="24">
        <v>0</v>
      </c>
      <c r="M71" s="27">
        <v>48750</v>
      </c>
      <c r="N71" s="15">
        <v>89950</v>
      </c>
      <c r="O71" s="15">
        <v>79950</v>
      </c>
      <c r="P71" s="15">
        <v>79975</v>
      </c>
      <c r="Q71" s="15">
        <v>80000</v>
      </c>
      <c r="R71" s="27">
        <v>100000</v>
      </c>
      <c r="S71" s="50">
        <v>1200000</v>
      </c>
      <c r="T71" s="50">
        <v>1200000</v>
      </c>
      <c r="U71" s="50">
        <v>1200000</v>
      </c>
      <c r="V71" s="1"/>
      <c r="W71" s="1"/>
      <c r="X71" s="1"/>
      <c r="Y71" s="1"/>
      <c r="Z71" s="1"/>
      <c r="AA71" s="1"/>
      <c r="AB71" s="1"/>
      <c r="AC71" s="1"/>
      <c r="AD71" s="1"/>
      <c r="AE71" s="1"/>
      <c r="AF71" s="1"/>
      <c r="AG71" s="1"/>
      <c r="AH71" s="1"/>
    </row>
    <row r="72" spans="1:34" s="8" customFormat="1" ht="39.75" customHeight="1" x14ac:dyDescent="0.25">
      <c r="A72" s="186"/>
      <c r="B72" s="187"/>
      <c r="C72" s="188" t="s">
        <v>290</v>
      </c>
      <c r="D72" s="148" t="s">
        <v>25</v>
      </c>
      <c r="E72" s="148" t="s">
        <v>26</v>
      </c>
      <c r="F72" s="148" t="s">
        <v>26</v>
      </c>
      <c r="G72" s="148" t="s">
        <v>26</v>
      </c>
      <c r="H72" s="148" t="s">
        <v>26</v>
      </c>
      <c r="I72" s="13">
        <f t="shared" si="35"/>
        <v>657437521.48000014</v>
      </c>
      <c r="J72" s="13">
        <f>44781524.94+2000000-283209.85-30973-1336183.24-1831291.46</f>
        <v>43299867.389999993</v>
      </c>
      <c r="K72" s="13">
        <f>28057544+127133-4942.82+1100000-264563.84-8700.67</f>
        <v>29006469.669999998</v>
      </c>
      <c r="L72" s="13">
        <f>29959116.43-1480000</f>
        <v>28479116.43</v>
      </c>
      <c r="M72" s="15">
        <v>35759472.390000001</v>
      </c>
      <c r="N72" s="15">
        <f>58523.82+758256.64+5764770+2412791.2+8540000+3707712.86+525437.14+160950+16715284.66</f>
        <v>38643726.32</v>
      </c>
      <c r="O72" s="15">
        <f>16371959.72+15884215.63</f>
        <v>32256175.350000001</v>
      </c>
      <c r="P72" s="15">
        <f>17470548.96+1200000+289584.8+15031169.6</f>
        <v>33991303.359999999</v>
      </c>
      <c r="Q72" s="15">
        <f>15884216+10000000+13180000+150000000</f>
        <v>189064216</v>
      </c>
      <c r="R72" s="15">
        <f>3480744.61+6630615.32+2599884.58+1600000+5100000+2077933.12+50000+146536150.98</f>
        <v>168075328.60999998</v>
      </c>
      <c r="S72" s="15">
        <v>19620615.32</v>
      </c>
      <c r="T72" s="15">
        <v>19620615.32</v>
      </c>
      <c r="U72" s="15">
        <v>19620615.32</v>
      </c>
      <c r="V72" s="1"/>
      <c r="W72" s="1"/>
      <c r="X72" s="1"/>
      <c r="Y72" s="1"/>
      <c r="Z72" s="1"/>
      <c r="AA72" s="1"/>
      <c r="AB72" s="1"/>
      <c r="AC72" s="1"/>
      <c r="AD72" s="1"/>
      <c r="AE72" s="1"/>
      <c r="AF72" s="1"/>
      <c r="AG72" s="1"/>
      <c r="AH72" s="1"/>
    </row>
    <row r="73" spans="1:34" s="8" customFormat="1" ht="33" customHeight="1" x14ac:dyDescent="0.25">
      <c r="A73" s="186"/>
      <c r="B73" s="187"/>
      <c r="C73" s="189"/>
      <c r="D73" s="148" t="s">
        <v>27</v>
      </c>
      <c r="E73" s="148" t="s">
        <v>26</v>
      </c>
      <c r="F73" s="148" t="s">
        <v>26</v>
      </c>
      <c r="G73" s="148" t="s">
        <v>26</v>
      </c>
      <c r="H73" s="148" t="s">
        <v>26</v>
      </c>
      <c r="I73" s="13">
        <f t="shared" si="35"/>
        <v>78293.100000000006</v>
      </c>
      <c r="J73" s="13">
        <v>0</v>
      </c>
      <c r="K73" s="13">
        <v>0</v>
      </c>
      <c r="L73" s="13">
        <v>0</v>
      </c>
      <c r="M73" s="13">
        <v>0</v>
      </c>
      <c r="N73" s="15">
        <v>78293.100000000006</v>
      </c>
      <c r="O73" s="13">
        <v>0</v>
      </c>
      <c r="P73" s="13">
        <v>0</v>
      </c>
      <c r="Q73" s="13">
        <v>0</v>
      </c>
      <c r="R73" s="13">
        <v>0</v>
      </c>
      <c r="S73" s="39">
        <v>0</v>
      </c>
      <c r="T73" s="47">
        <v>0</v>
      </c>
      <c r="U73" s="47">
        <v>0</v>
      </c>
      <c r="V73" s="1"/>
      <c r="W73" s="1"/>
      <c r="X73" s="1"/>
      <c r="Y73" s="1"/>
      <c r="Z73" s="1"/>
      <c r="AA73" s="1"/>
      <c r="AB73" s="1"/>
      <c r="AC73" s="1"/>
      <c r="AD73" s="1"/>
      <c r="AE73" s="1"/>
      <c r="AF73" s="1"/>
      <c r="AG73" s="1"/>
      <c r="AH73" s="1"/>
    </row>
    <row r="74" spans="1:34" s="8" customFormat="1" ht="34.5" customHeight="1" x14ac:dyDescent="0.25">
      <c r="A74" s="186"/>
      <c r="B74" s="187"/>
      <c r="C74" s="190"/>
      <c r="D74" s="148" t="s">
        <v>28</v>
      </c>
      <c r="E74" s="148" t="s">
        <v>26</v>
      </c>
      <c r="F74" s="148" t="s">
        <v>26</v>
      </c>
      <c r="G74" s="148" t="s">
        <v>26</v>
      </c>
      <c r="H74" s="148" t="s">
        <v>26</v>
      </c>
      <c r="I74" s="13">
        <f t="shared" si="35"/>
        <v>493882</v>
      </c>
      <c r="J74" s="13">
        <v>0</v>
      </c>
      <c r="K74" s="13">
        <v>0</v>
      </c>
      <c r="L74" s="13">
        <v>0</v>
      </c>
      <c r="M74" s="13">
        <v>0</v>
      </c>
      <c r="N74" s="15">
        <v>493882</v>
      </c>
      <c r="O74" s="13">
        <v>0</v>
      </c>
      <c r="P74" s="13">
        <v>0</v>
      </c>
      <c r="Q74" s="13">
        <v>0</v>
      </c>
      <c r="R74" s="13">
        <v>0</v>
      </c>
      <c r="S74" s="39">
        <v>0</v>
      </c>
      <c r="T74" s="47">
        <v>0</v>
      </c>
      <c r="U74" s="47">
        <v>0</v>
      </c>
      <c r="V74" s="1"/>
      <c r="W74" s="1"/>
      <c r="X74" s="1"/>
      <c r="Y74" s="1"/>
      <c r="Z74" s="1"/>
      <c r="AA74" s="1"/>
      <c r="AB74" s="1"/>
      <c r="AC74" s="1"/>
      <c r="AD74" s="1"/>
      <c r="AE74" s="1"/>
      <c r="AF74" s="1"/>
      <c r="AG74" s="1"/>
      <c r="AH74" s="1"/>
    </row>
    <row r="75" spans="1:34" s="52" customFormat="1" ht="47.25" x14ac:dyDescent="0.25">
      <c r="A75" s="186"/>
      <c r="B75" s="187"/>
      <c r="C75" s="150" t="s">
        <v>75</v>
      </c>
      <c r="D75" s="35" t="s">
        <v>25</v>
      </c>
      <c r="E75" s="35" t="s">
        <v>26</v>
      </c>
      <c r="F75" s="35" t="s">
        <v>26</v>
      </c>
      <c r="G75" s="35" t="s">
        <v>26</v>
      </c>
      <c r="H75" s="35" t="s">
        <v>26</v>
      </c>
      <c r="I75" s="24">
        <f t="shared" si="35"/>
        <v>77452204.439999998</v>
      </c>
      <c r="J75" s="24">
        <v>0</v>
      </c>
      <c r="K75" s="24">
        <v>0</v>
      </c>
      <c r="L75" s="24">
        <v>0</v>
      </c>
      <c r="M75" s="24">
        <v>0</v>
      </c>
      <c r="N75" s="27">
        <v>0</v>
      </c>
      <c r="O75" s="24">
        <v>0</v>
      </c>
      <c r="P75" s="24">
        <v>0</v>
      </c>
      <c r="Q75" s="24">
        <v>0</v>
      </c>
      <c r="R75" s="24">
        <v>16432812.57</v>
      </c>
      <c r="S75" s="50">
        <v>20339797.289999999</v>
      </c>
      <c r="T75" s="50">
        <v>20339797.289999999</v>
      </c>
      <c r="U75" s="50">
        <v>20339797.289999999</v>
      </c>
      <c r="V75" s="51"/>
      <c r="W75" s="51"/>
      <c r="X75" s="51"/>
      <c r="Y75" s="51"/>
      <c r="Z75" s="51"/>
      <c r="AA75" s="51"/>
      <c r="AB75" s="51"/>
      <c r="AC75" s="51"/>
      <c r="AD75" s="51"/>
      <c r="AE75" s="51"/>
      <c r="AF75" s="51"/>
      <c r="AG75" s="51"/>
      <c r="AH75" s="51"/>
    </row>
    <row r="76" spans="1:34" s="8" customFormat="1" ht="41.25" customHeight="1" x14ac:dyDescent="0.25">
      <c r="A76" s="186"/>
      <c r="B76" s="187"/>
      <c r="C76" s="145" t="s">
        <v>76</v>
      </c>
      <c r="D76" s="148" t="s">
        <v>25</v>
      </c>
      <c r="E76" s="148" t="s">
        <v>26</v>
      </c>
      <c r="F76" s="148" t="s">
        <v>26</v>
      </c>
      <c r="G76" s="148" t="s">
        <v>26</v>
      </c>
      <c r="H76" s="148" t="s">
        <v>26</v>
      </c>
      <c r="I76" s="13">
        <f t="shared" si="35"/>
        <v>3258000</v>
      </c>
      <c r="J76" s="13">
        <v>0</v>
      </c>
      <c r="K76" s="13">
        <v>0</v>
      </c>
      <c r="L76" s="13">
        <v>0</v>
      </c>
      <c r="M76" s="13">
        <v>0</v>
      </c>
      <c r="N76" s="15">
        <v>354000</v>
      </c>
      <c r="O76" s="15">
        <v>354000</v>
      </c>
      <c r="P76" s="13">
        <v>0</v>
      </c>
      <c r="Q76" s="13">
        <v>0</v>
      </c>
      <c r="R76" s="13">
        <v>2550000</v>
      </c>
      <c r="S76" s="39">
        <v>0</v>
      </c>
      <c r="T76" s="47">
        <v>0</v>
      </c>
      <c r="U76" s="47">
        <v>0</v>
      </c>
      <c r="V76" s="1"/>
      <c r="W76" s="1"/>
      <c r="X76" s="1"/>
      <c r="Y76" s="1"/>
      <c r="Z76" s="1"/>
      <c r="AA76" s="1"/>
      <c r="AB76" s="1"/>
      <c r="AC76" s="1"/>
      <c r="AD76" s="1"/>
      <c r="AE76" s="1"/>
      <c r="AF76" s="1"/>
      <c r="AG76" s="1"/>
      <c r="AH76" s="1"/>
    </row>
    <row r="77" spans="1:34" s="8" customFormat="1" ht="69.75" customHeight="1" x14ac:dyDescent="0.25">
      <c r="A77" s="172"/>
      <c r="B77" s="174"/>
      <c r="C77" s="148" t="s">
        <v>77</v>
      </c>
      <c r="D77" s="148" t="s">
        <v>25</v>
      </c>
      <c r="E77" s="148" t="s">
        <v>26</v>
      </c>
      <c r="F77" s="148" t="s">
        <v>26</v>
      </c>
      <c r="G77" s="148" t="s">
        <v>26</v>
      </c>
      <c r="H77" s="148" t="s">
        <v>26</v>
      </c>
      <c r="I77" s="13">
        <f t="shared" si="35"/>
        <v>16229869.99</v>
      </c>
      <c r="J77" s="13">
        <v>0</v>
      </c>
      <c r="K77" s="13">
        <v>0</v>
      </c>
      <c r="L77" s="13">
        <v>0</v>
      </c>
      <c r="M77" s="13">
        <v>0</v>
      </c>
      <c r="N77" s="15">
        <v>0</v>
      </c>
      <c r="O77" s="13">
        <f>14535909.99+1693960</f>
        <v>16229869.99</v>
      </c>
      <c r="P77" s="13">
        <v>0</v>
      </c>
      <c r="Q77" s="13">
        <v>0</v>
      </c>
      <c r="R77" s="13">
        <v>0</v>
      </c>
      <c r="S77" s="39">
        <v>0</v>
      </c>
      <c r="T77" s="47">
        <v>0</v>
      </c>
      <c r="U77" s="47">
        <v>0</v>
      </c>
      <c r="V77" s="1"/>
      <c r="W77" s="1"/>
      <c r="X77" s="1"/>
      <c r="Y77" s="1"/>
      <c r="Z77" s="1"/>
      <c r="AA77" s="1"/>
      <c r="AB77" s="1"/>
      <c r="AC77" s="1"/>
      <c r="AD77" s="1"/>
      <c r="AE77" s="1"/>
      <c r="AF77" s="1"/>
      <c r="AG77" s="1"/>
      <c r="AH77" s="1"/>
    </row>
    <row r="78" spans="1:34" s="8" customFormat="1" ht="57" customHeight="1" x14ac:dyDescent="0.25">
      <c r="A78" s="168">
        <v>27</v>
      </c>
      <c r="B78" s="170" t="s">
        <v>78</v>
      </c>
      <c r="C78" s="148" t="s">
        <v>79</v>
      </c>
      <c r="D78" s="148" t="s">
        <v>27</v>
      </c>
      <c r="E78" s="148" t="s">
        <v>26</v>
      </c>
      <c r="F78" s="148" t="s">
        <v>26</v>
      </c>
      <c r="G78" s="148" t="s">
        <v>26</v>
      </c>
      <c r="H78" s="148" t="s">
        <v>26</v>
      </c>
      <c r="I78" s="13">
        <f t="shared" si="35"/>
        <v>837446025.70000005</v>
      </c>
      <c r="J78" s="15">
        <f t="shared" ref="J78:U78" si="36">SUM(J80:J81)</f>
        <v>6205500</v>
      </c>
      <c r="K78" s="15">
        <f t="shared" si="36"/>
        <v>5646328</v>
      </c>
      <c r="L78" s="15">
        <f t="shared" si="36"/>
        <v>8111483.2999999998</v>
      </c>
      <c r="M78" s="15">
        <f t="shared" si="36"/>
        <v>11350284</v>
      </c>
      <c r="N78" s="15">
        <f t="shared" si="36"/>
        <v>38541772.789999999</v>
      </c>
      <c r="O78" s="15">
        <f t="shared" si="36"/>
        <v>41178378.030000001</v>
      </c>
      <c r="P78" s="16">
        <f t="shared" si="36"/>
        <v>66175546.780000001</v>
      </c>
      <c r="Q78" s="16">
        <f t="shared" si="36"/>
        <v>113061754.48999999</v>
      </c>
      <c r="R78" s="16">
        <f t="shared" si="36"/>
        <v>190457678.31</v>
      </c>
      <c r="S78" s="16">
        <f t="shared" ref="S78" si="37">SUM(S80:S81)</f>
        <v>161704900</v>
      </c>
      <c r="T78" s="17">
        <f t="shared" si="36"/>
        <v>97506200</v>
      </c>
      <c r="U78" s="16">
        <f t="shared" si="36"/>
        <v>97506200</v>
      </c>
      <c r="V78" s="1"/>
      <c r="W78" s="1"/>
      <c r="X78" s="1"/>
      <c r="Y78" s="1"/>
      <c r="Z78" s="1"/>
      <c r="AA78" s="1"/>
      <c r="AB78" s="1"/>
      <c r="AC78" s="1"/>
      <c r="AD78" s="1"/>
      <c r="AE78" s="1"/>
      <c r="AF78" s="1"/>
      <c r="AG78" s="1"/>
      <c r="AH78" s="1"/>
    </row>
    <row r="79" spans="1:34" s="8" customFormat="1" ht="24.75" customHeight="1" x14ac:dyDescent="0.25">
      <c r="A79" s="168"/>
      <c r="B79" s="170"/>
      <c r="C79" s="148" t="s">
        <v>41</v>
      </c>
      <c r="D79" s="170"/>
      <c r="E79" s="170"/>
      <c r="F79" s="170"/>
      <c r="G79" s="170"/>
      <c r="H79" s="170"/>
      <c r="I79" s="170"/>
      <c r="J79" s="170"/>
      <c r="K79" s="170"/>
      <c r="L79" s="170"/>
      <c r="M79" s="21"/>
      <c r="N79" s="22"/>
      <c r="O79" s="15"/>
      <c r="P79" s="15"/>
      <c r="Q79" s="15"/>
      <c r="R79" s="15"/>
      <c r="S79" s="42"/>
      <c r="T79" s="46"/>
      <c r="U79" s="20"/>
      <c r="V79" s="1"/>
      <c r="W79" s="1"/>
      <c r="X79" s="1"/>
      <c r="Y79" s="1"/>
      <c r="Z79" s="1"/>
      <c r="AA79" s="1"/>
      <c r="AB79" s="1"/>
      <c r="AC79" s="1"/>
      <c r="AD79" s="1"/>
      <c r="AE79" s="1"/>
      <c r="AF79" s="1"/>
      <c r="AG79" s="1"/>
      <c r="AH79" s="1"/>
    </row>
    <row r="80" spans="1:34" s="8" customFormat="1" ht="46.5" customHeight="1" x14ac:dyDescent="0.25">
      <c r="A80" s="168"/>
      <c r="B80" s="170"/>
      <c r="C80" s="148" t="s">
        <v>80</v>
      </c>
      <c r="D80" s="148" t="s">
        <v>27</v>
      </c>
      <c r="E80" s="148" t="s">
        <v>26</v>
      </c>
      <c r="F80" s="148" t="s">
        <v>26</v>
      </c>
      <c r="G80" s="148" t="s">
        <v>26</v>
      </c>
      <c r="H80" s="148" t="s">
        <v>26</v>
      </c>
      <c r="I80" s="13">
        <f>SUM(J80:U80)</f>
        <v>698436889.46000004</v>
      </c>
      <c r="J80" s="13">
        <f>1001346-555747.03</f>
        <v>445598.97</v>
      </c>
      <c r="K80" s="13">
        <v>0</v>
      </c>
      <c r="L80" s="13">
        <v>0</v>
      </c>
      <c r="M80" s="15">
        <v>0</v>
      </c>
      <c r="N80" s="15">
        <v>0</v>
      </c>
      <c r="O80" s="15">
        <v>17591831.079999998</v>
      </c>
      <c r="P80" s="15">
        <v>61652623.710000001</v>
      </c>
      <c r="Q80" s="15">
        <v>93061754.489999995</v>
      </c>
      <c r="R80" s="15">
        <v>168967781.21000001</v>
      </c>
      <c r="S80" s="39">
        <v>161704900</v>
      </c>
      <c r="T80" s="47">
        <v>97506200</v>
      </c>
      <c r="U80" s="47">
        <v>97506200</v>
      </c>
      <c r="V80" s="1"/>
      <c r="W80" s="1"/>
      <c r="X80" s="1"/>
      <c r="Y80" s="1"/>
      <c r="Z80" s="1"/>
      <c r="AA80" s="1"/>
      <c r="AB80" s="1"/>
      <c r="AC80" s="1"/>
      <c r="AD80" s="1"/>
      <c r="AE80" s="1"/>
      <c r="AF80" s="1"/>
      <c r="AG80" s="1"/>
      <c r="AH80" s="1"/>
    </row>
    <row r="81" spans="1:34" s="8" customFormat="1" ht="38.25" customHeight="1" x14ac:dyDescent="0.25">
      <c r="A81" s="168"/>
      <c r="B81" s="170"/>
      <c r="C81" s="148" t="s">
        <v>81</v>
      </c>
      <c r="D81" s="148" t="s">
        <v>27</v>
      </c>
      <c r="E81" s="148" t="s">
        <v>26</v>
      </c>
      <c r="F81" s="148" t="s">
        <v>26</v>
      </c>
      <c r="G81" s="148" t="s">
        <v>26</v>
      </c>
      <c r="H81" s="148" t="s">
        <v>26</v>
      </c>
      <c r="I81" s="13">
        <f t="shared" ref="I81:I85" si="38">SUM(J81:U81)</f>
        <v>139009136.24000001</v>
      </c>
      <c r="J81" s="13">
        <f>5204154+555747.03</f>
        <v>5759901.0300000003</v>
      </c>
      <c r="K81" s="13">
        <f>5646400-72</f>
        <v>5646328</v>
      </c>
      <c r="L81" s="13">
        <v>8111483.2999999998</v>
      </c>
      <c r="M81" s="15">
        <v>11350284</v>
      </c>
      <c r="N81" s="15">
        <v>38541772.789999999</v>
      </c>
      <c r="O81" s="15">
        <v>23586546.949999999</v>
      </c>
      <c r="P81" s="15">
        <v>4522923.07</v>
      </c>
      <c r="Q81" s="15">
        <v>20000000</v>
      </c>
      <c r="R81" s="15">
        <v>21489897.100000001</v>
      </c>
      <c r="S81" s="39">
        <v>0</v>
      </c>
      <c r="T81" s="47">
        <v>0</v>
      </c>
      <c r="U81" s="20"/>
      <c r="V81" s="1"/>
      <c r="W81" s="1"/>
      <c r="X81" s="1"/>
      <c r="Y81" s="1"/>
      <c r="Z81" s="1"/>
      <c r="AA81" s="1"/>
      <c r="AB81" s="1"/>
      <c r="AC81" s="1"/>
      <c r="AD81" s="1"/>
      <c r="AE81" s="1"/>
      <c r="AF81" s="1"/>
      <c r="AG81" s="1"/>
      <c r="AH81" s="1"/>
    </row>
    <row r="82" spans="1:34" s="8" customFormat="1" ht="76.5" customHeight="1" x14ac:dyDescent="0.25">
      <c r="A82" s="136">
        <v>28</v>
      </c>
      <c r="B82" s="148" t="s">
        <v>82</v>
      </c>
      <c r="C82" s="148" t="s">
        <v>83</v>
      </c>
      <c r="D82" s="148" t="s">
        <v>27</v>
      </c>
      <c r="E82" s="148" t="s">
        <v>26</v>
      </c>
      <c r="F82" s="148" t="s">
        <v>26</v>
      </c>
      <c r="G82" s="148" t="s">
        <v>26</v>
      </c>
      <c r="H82" s="148" t="s">
        <v>26</v>
      </c>
      <c r="I82" s="13">
        <f t="shared" si="38"/>
        <v>30000000</v>
      </c>
      <c r="J82" s="13">
        <v>0</v>
      </c>
      <c r="K82" s="13">
        <v>0</v>
      </c>
      <c r="L82" s="13">
        <v>0</v>
      </c>
      <c r="M82" s="15">
        <v>30000000</v>
      </c>
      <c r="N82" s="15">
        <v>0</v>
      </c>
      <c r="O82" s="15">
        <v>0</v>
      </c>
      <c r="P82" s="15">
        <v>0</v>
      </c>
      <c r="Q82" s="15">
        <v>0</v>
      </c>
      <c r="R82" s="15">
        <v>0</v>
      </c>
      <c r="S82" s="39">
        <v>0</v>
      </c>
      <c r="T82" s="47">
        <v>0</v>
      </c>
      <c r="U82" s="47">
        <v>0</v>
      </c>
      <c r="V82" s="1"/>
      <c r="W82" s="1"/>
      <c r="X82" s="1"/>
      <c r="Y82" s="1"/>
      <c r="Z82" s="1"/>
      <c r="AA82" s="1"/>
      <c r="AB82" s="1"/>
      <c r="AC82" s="1"/>
      <c r="AD82" s="1"/>
      <c r="AE82" s="1"/>
      <c r="AF82" s="1"/>
      <c r="AG82" s="1"/>
      <c r="AH82" s="1"/>
    </row>
    <row r="83" spans="1:34" s="8" customFormat="1" ht="63" x14ac:dyDescent="0.25">
      <c r="A83" s="136">
        <v>29</v>
      </c>
      <c r="B83" s="148" t="s">
        <v>84</v>
      </c>
      <c r="C83" s="148" t="s">
        <v>85</v>
      </c>
      <c r="D83" s="148" t="s">
        <v>25</v>
      </c>
      <c r="E83" s="148" t="s">
        <v>26</v>
      </c>
      <c r="F83" s="148" t="s">
        <v>26</v>
      </c>
      <c r="G83" s="148" t="s">
        <v>26</v>
      </c>
      <c r="H83" s="148" t="s">
        <v>26</v>
      </c>
      <c r="I83" s="13">
        <f t="shared" si="38"/>
        <v>890175901.21000004</v>
      </c>
      <c r="J83" s="13">
        <f>23483723.03+1410059.59+531231.86+1468768.14</f>
        <v>26893782.620000001</v>
      </c>
      <c r="K83" s="13">
        <f>37483723+1162254.44</f>
        <v>38645977.439999998</v>
      </c>
      <c r="L83" s="13">
        <v>61874237.659999996</v>
      </c>
      <c r="M83" s="15">
        <v>75321876</v>
      </c>
      <c r="N83" s="15">
        <v>78710937.730000004</v>
      </c>
      <c r="O83" s="15">
        <v>78381256.260000005</v>
      </c>
      <c r="P83" s="15">
        <v>78818693.299999997</v>
      </c>
      <c r="Q83" s="15">
        <v>80218694</v>
      </c>
      <c r="R83" s="15">
        <v>84229001.590000004</v>
      </c>
      <c r="S83" s="39">
        <v>95693814.870000005</v>
      </c>
      <c r="T83" s="39">
        <v>95693814.870000005</v>
      </c>
      <c r="U83" s="39">
        <v>95693814.870000005</v>
      </c>
      <c r="V83" s="1"/>
      <c r="W83" s="1"/>
      <c r="X83" s="1"/>
      <c r="Y83" s="1"/>
      <c r="Z83" s="1"/>
      <c r="AA83" s="1"/>
      <c r="AB83" s="1"/>
      <c r="AC83" s="1"/>
      <c r="AD83" s="1"/>
      <c r="AE83" s="1"/>
      <c r="AF83" s="1"/>
      <c r="AG83" s="1"/>
      <c r="AH83" s="1"/>
    </row>
    <row r="84" spans="1:34" s="8" customFormat="1" ht="77.25" customHeight="1" x14ac:dyDescent="0.25">
      <c r="A84" s="136">
        <v>30</v>
      </c>
      <c r="B84" s="143" t="s">
        <v>86</v>
      </c>
      <c r="C84" s="148" t="s">
        <v>85</v>
      </c>
      <c r="D84" s="148" t="s">
        <v>25</v>
      </c>
      <c r="E84" s="148" t="s">
        <v>26</v>
      </c>
      <c r="F84" s="148" t="s">
        <v>26</v>
      </c>
      <c r="G84" s="148" t="s">
        <v>26</v>
      </c>
      <c r="H84" s="148" t="s">
        <v>26</v>
      </c>
      <c r="I84" s="13">
        <f>SUM(J84:U84)</f>
        <v>23598974.120000001</v>
      </c>
      <c r="J84" s="13">
        <f>3000000-982389.72</f>
        <v>2017610.28</v>
      </c>
      <c r="K84" s="13">
        <v>45000</v>
      </c>
      <c r="L84" s="13">
        <f>1000000+995000</f>
        <v>1995000</v>
      </c>
      <c r="M84" s="15">
        <v>1962167.62</v>
      </c>
      <c r="N84" s="15">
        <f>1021630.9+830000</f>
        <v>1851630.9</v>
      </c>
      <c r="O84" s="15">
        <f>874133.25+1039321.11</f>
        <v>1913454.3599999999</v>
      </c>
      <c r="P84" s="15">
        <f>1039321.11+980000</f>
        <v>2019321.1099999999</v>
      </c>
      <c r="Q84" s="15">
        <f>1039321+1000000</f>
        <v>2039321</v>
      </c>
      <c r="R84" s="15">
        <f>1095538.49+1404000</f>
        <v>2499538.4900000002</v>
      </c>
      <c r="S84" s="15">
        <f>1350017.56+1000000</f>
        <v>2350017.56</v>
      </c>
      <c r="T84" s="19">
        <f>1417518.44+1000000</f>
        <v>2417518.44</v>
      </c>
      <c r="U84" s="39">
        <f>1488394.36+1000000</f>
        <v>2488394.3600000003</v>
      </c>
      <c r="V84" s="1"/>
      <c r="W84" s="1"/>
      <c r="X84" s="1"/>
      <c r="Y84" s="1"/>
      <c r="Z84" s="1"/>
      <c r="AA84" s="1"/>
      <c r="AB84" s="1"/>
      <c r="AC84" s="1"/>
      <c r="AD84" s="1"/>
      <c r="AE84" s="1"/>
      <c r="AF84" s="1"/>
      <c r="AG84" s="1"/>
      <c r="AH84" s="1"/>
    </row>
    <row r="85" spans="1:34" s="8" customFormat="1" ht="58.5" customHeight="1" x14ac:dyDescent="0.25">
      <c r="A85" s="136">
        <v>31</v>
      </c>
      <c r="B85" s="157" t="s">
        <v>87</v>
      </c>
      <c r="C85" s="142" t="s">
        <v>88</v>
      </c>
      <c r="D85" s="148" t="s">
        <v>25</v>
      </c>
      <c r="E85" s="148" t="s">
        <v>26</v>
      </c>
      <c r="F85" s="148" t="s">
        <v>26</v>
      </c>
      <c r="G85" s="148" t="s">
        <v>26</v>
      </c>
      <c r="H85" s="148" t="s">
        <v>26</v>
      </c>
      <c r="I85" s="13">
        <f t="shared" si="38"/>
        <v>40053241.799999997</v>
      </c>
      <c r="J85" s="13">
        <v>0</v>
      </c>
      <c r="K85" s="13">
        <f>43246500-2722696.6-470561.6</f>
        <v>40053241.799999997</v>
      </c>
      <c r="L85" s="13">
        <v>0</v>
      </c>
      <c r="M85" s="15">
        <v>0</v>
      </c>
      <c r="N85" s="15">
        <v>0</v>
      </c>
      <c r="O85" s="15">
        <v>0</v>
      </c>
      <c r="P85" s="15">
        <v>0</v>
      </c>
      <c r="Q85" s="15">
        <v>0</v>
      </c>
      <c r="R85" s="15">
        <v>0</v>
      </c>
      <c r="S85" s="39">
        <v>0</v>
      </c>
      <c r="T85" s="47">
        <v>0</v>
      </c>
      <c r="U85" s="47">
        <v>0</v>
      </c>
      <c r="V85" s="1"/>
      <c r="W85" s="1"/>
      <c r="X85" s="1"/>
      <c r="Y85" s="1"/>
      <c r="Z85" s="1"/>
      <c r="AA85" s="1"/>
      <c r="AB85" s="1"/>
      <c r="AC85" s="1"/>
      <c r="AD85" s="1"/>
      <c r="AE85" s="1"/>
      <c r="AF85" s="1"/>
      <c r="AG85" s="1"/>
      <c r="AH85" s="1"/>
    </row>
    <row r="86" spans="1:34" s="8" customFormat="1" ht="121.5" customHeight="1" x14ac:dyDescent="0.25">
      <c r="A86" s="136">
        <v>32</v>
      </c>
      <c r="B86" s="157" t="s">
        <v>89</v>
      </c>
      <c r="C86" s="54" t="s">
        <v>90</v>
      </c>
      <c r="D86" s="148" t="s">
        <v>25</v>
      </c>
      <c r="E86" s="148" t="s">
        <v>26</v>
      </c>
      <c r="F86" s="148" t="s">
        <v>26</v>
      </c>
      <c r="G86" s="148" t="s">
        <v>26</v>
      </c>
      <c r="H86" s="148" t="s">
        <v>26</v>
      </c>
      <c r="I86" s="13">
        <f t="shared" ref="I86:I94" si="39">SUM(J86:T86)</f>
        <v>95000</v>
      </c>
      <c r="J86" s="13">
        <v>0</v>
      </c>
      <c r="K86" s="13">
        <v>50000</v>
      </c>
      <c r="L86" s="13">
        <v>45000</v>
      </c>
      <c r="M86" s="15">
        <v>0</v>
      </c>
      <c r="N86" s="15">
        <v>0</v>
      </c>
      <c r="O86" s="15">
        <v>0</v>
      </c>
      <c r="P86" s="15">
        <v>0</v>
      </c>
      <c r="Q86" s="15">
        <v>0</v>
      </c>
      <c r="R86" s="15">
        <v>0</v>
      </c>
      <c r="S86" s="39">
        <v>0</v>
      </c>
      <c r="T86" s="47">
        <v>0</v>
      </c>
      <c r="U86" s="47">
        <v>0</v>
      </c>
      <c r="V86" s="1"/>
      <c r="W86" s="1"/>
      <c r="X86" s="1"/>
      <c r="Y86" s="1"/>
      <c r="Z86" s="1"/>
      <c r="AA86" s="1"/>
      <c r="AB86" s="1"/>
      <c r="AC86" s="1"/>
      <c r="AD86" s="1"/>
      <c r="AE86" s="1"/>
      <c r="AF86" s="1"/>
      <c r="AG86" s="1"/>
      <c r="AH86" s="1"/>
    </row>
    <row r="87" spans="1:34" s="8" customFormat="1" ht="1.5" hidden="1" customHeight="1" x14ac:dyDescent="0.25">
      <c r="A87" s="136"/>
      <c r="B87" s="157" t="s">
        <v>91</v>
      </c>
      <c r="C87" s="55" t="s">
        <v>92</v>
      </c>
      <c r="D87" s="148" t="s">
        <v>50</v>
      </c>
      <c r="E87" s="148" t="s">
        <v>26</v>
      </c>
      <c r="F87" s="148" t="s">
        <v>26</v>
      </c>
      <c r="G87" s="148" t="s">
        <v>26</v>
      </c>
      <c r="H87" s="148" t="s">
        <v>26</v>
      </c>
      <c r="I87" s="13">
        <f t="shared" si="39"/>
        <v>0</v>
      </c>
      <c r="J87" s="13">
        <v>0</v>
      </c>
      <c r="K87" s="13">
        <v>0</v>
      </c>
      <c r="L87" s="13">
        <v>0</v>
      </c>
      <c r="M87" s="15">
        <v>0</v>
      </c>
      <c r="N87" s="22"/>
      <c r="O87" s="15"/>
      <c r="P87" s="15"/>
      <c r="Q87" s="15"/>
      <c r="R87" s="15"/>
      <c r="S87" s="42"/>
      <c r="T87" s="46"/>
      <c r="U87" s="46"/>
      <c r="V87" s="1"/>
      <c r="W87" s="1"/>
      <c r="X87" s="1"/>
      <c r="Y87" s="1"/>
      <c r="Z87" s="1"/>
      <c r="AA87" s="1"/>
      <c r="AB87" s="1"/>
      <c r="AC87" s="1"/>
      <c r="AD87" s="1"/>
      <c r="AE87" s="1"/>
      <c r="AF87" s="1"/>
      <c r="AG87" s="1"/>
      <c r="AH87" s="1"/>
    </row>
    <row r="88" spans="1:34" s="8" customFormat="1" ht="85.5" customHeight="1" x14ac:dyDescent="0.25">
      <c r="A88" s="9">
        <v>33</v>
      </c>
      <c r="B88" s="157" t="s">
        <v>93</v>
      </c>
      <c r="C88" s="54" t="s">
        <v>94</v>
      </c>
      <c r="D88" s="148" t="s">
        <v>25</v>
      </c>
      <c r="E88" s="148" t="s">
        <v>26</v>
      </c>
      <c r="F88" s="148" t="s">
        <v>26</v>
      </c>
      <c r="G88" s="148" t="s">
        <v>26</v>
      </c>
      <c r="H88" s="148" t="s">
        <v>26</v>
      </c>
      <c r="I88" s="13">
        <f t="shared" si="39"/>
        <v>500000</v>
      </c>
      <c r="J88" s="13">
        <v>0</v>
      </c>
      <c r="K88" s="13">
        <v>500000</v>
      </c>
      <c r="L88" s="13">
        <v>0</v>
      </c>
      <c r="M88" s="15">
        <v>0</v>
      </c>
      <c r="N88" s="15">
        <v>0</v>
      </c>
      <c r="O88" s="15">
        <v>0</v>
      </c>
      <c r="P88" s="15">
        <v>0</v>
      </c>
      <c r="Q88" s="15">
        <v>0</v>
      </c>
      <c r="R88" s="15">
        <v>0</v>
      </c>
      <c r="S88" s="39">
        <v>0</v>
      </c>
      <c r="T88" s="47">
        <v>0</v>
      </c>
      <c r="U88" s="47">
        <v>0</v>
      </c>
      <c r="V88" s="1"/>
      <c r="W88" s="1"/>
      <c r="X88" s="1"/>
      <c r="Y88" s="1"/>
      <c r="Z88" s="1"/>
      <c r="AA88" s="1"/>
      <c r="AB88" s="1"/>
      <c r="AC88" s="1"/>
      <c r="AD88" s="1"/>
      <c r="AE88" s="1"/>
      <c r="AF88" s="1"/>
      <c r="AG88" s="1"/>
      <c r="AH88" s="1"/>
    </row>
    <row r="89" spans="1:34" s="8" customFormat="1" ht="30" customHeight="1" x14ac:dyDescent="0.25">
      <c r="A89" s="171">
        <v>34</v>
      </c>
      <c r="B89" s="197" t="s">
        <v>95</v>
      </c>
      <c r="C89" s="54" t="s">
        <v>96</v>
      </c>
      <c r="D89" s="173" t="s">
        <v>25</v>
      </c>
      <c r="E89" s="148" t="s">
        <v>26</v>
      </c>
      <c r="F89" s="148" t="s">
        <v>26</v>
      </c>
      <c r="G89" s="148" t="s">
        <v>26</v>
      </c>
      <c r="H89" s="148" t="s">
        <v>26</v>
      </c>
      <c r="I89" s="13">
        <f t="shared" si="39"/>
        <v>115883668.66999999</v>
      </c>
      <c r="J89" s="13">
        <v>0</v>
      </c>
      <c r="K89" s="13">
        <v>0</v>
      </c>
      <c r="L89" s="13">
        <f>SUM(L90:L93)</f>
        <v>12722372.5</v>
      </c>
      <c r="M89" s="13">
        <f t="shared" ref="M89:U89" si="40">SUM(M90:M94)</f>
        <v>19285421.34</v>
      </c>
      <c r="N89" s="13">
        <f t="shared" si="40"/>
        <v>8348221.54</v>
      </c>
      <c r="O89" s="13">
        <f t="shared" si="40"/>
        <v>18714495.73</v>
      </c>
      <c r="P89" s="14">
        <f t="shared" si="40"/>
        <v>20207878.52</v>
      </c>
      <c r="Q89" s="14">
        <f t="shared" si="40"/>
        <v>19681343.52</v>
      </c>
      <c r="R89" s="14">
        <f t="shared" si="40"/>
        <v>16923935.52</v>
      </c>
      <c r="S89" s="14">
        <f t="shared" si="40"/>
        <v>0</v>
      </c>
      <c r="T89" s="56">
        <f t="shared" si="40"/>
        <v>0</v>
      </c>
      <c r="U89" s="56">
        <f t="shared" si="40"/>
        <v>0</v>
      </c>
      <c r="V89" s="1"/>
      <c r="W89" s="1"/>
      <c r="X89" s="1"/>
      <c r="Y89" s="1"/>
      <c r="Z89" s="1"/>
      <c r="AA89" s="1"/>
      <c r="AB89" s="1"/>
      <c r="AC89" s="1"/>
      <c r="AD89" s="1"/>
      <c r="AE89" s="1"/>
      <c r="AF89" s="1"/>
      <c r="AG89" s="1"/>
      <c r="AH89" s="1"/>
    </row>
    <row r="90" spans="1:34" s="8" customFormat="1" ht="34.5" customHeight="1" x14ac:dyDescent="0.25">
      <c r="A90" s="186"/>
      <c r="B90" s="193"/>
      <c r="C90" s="54" t="s">
        <v>92</v>
      </c>
      <c r="D90" s="187"/>
      <c r="E90" s="148" t="s">
        <v>26</v>
      </c>
      <c r="F90" s="148" t="s">
        <v>26</v>
      </c>
      <c r="G90" s="148" t="s">
        <v>26</v>
      </c>
      <c r="H90" s="148" t="s">
        <v>26</v>
      </c>
      <c r="I90" s="13">
        <f t="shared" si="39"/>
        <v>22195205.100000001</v>
      </c>
      <c r="J90" s="13">
        <v>0</v>
      </c>
      <c r="K90" s="13">
        <v>0</v>
      </c>
      <c r="L90" s="13">
        <f>3178000-208000-1097.44</f>
        <v>2968902.56</v>
      </c>
      <c r="M90" s="15">
        <f>4950000-537253.8</f>
        <v>4412746.2</v>
      </c>
      <c r="N90" s="15">
        <v>0</v>
      </c>
      <c r="O90" s="13">
        <v>3677620.73</v>
      </c>
      <c r="P90" s="15">
        <v>3451216.25</v>
      </c>
      <c r="Q90" s="15">
        <v>3772609.29</v>
      </c>
      <c r="R90" s="15">
        <v>3912110.07</v>
      </c>
      <c r="S90" s="39">
        <v>0</v>
      </c>
      <c r="T90" s="47">
        <v>0</v>
      </c>
      <c r="U90" s="47">
        <v>0</v>
      </c>
      <c r="V90" s="1"/>
      <c r="W90" s="1"/>
      <c r="X90" s="1"/>
      <c r="Y90" s="1"/>
      <c r="Z90" s="1"/>
      <c r="AA90" s="1"/>
      <c r="AB90" s="1"/>
      <c r="AC90" s="1"/>
      <c r="AD90" s="1"/>
      <c r="AE90" s="1"/>
      <c r="AF90" s="1"/>
      <c r="AG90" s="1"/>
      <c r="AH90" s="1"/>
    </row>
    <row r="91" spans="1:34" s="8" customFormat="1" ht="35.25" customHeight="1" x14ac:dyDescent="0.25">
      <c r="A91" s="186"/>
      <c r="B91" s="193"/>
      <c r="C91" s="54" t="s">
        <v>97</v>
      </c>
      <c r="D91" s="187"/>
      <c r="E91" s="148" t="s">
        <v>26</v>
      </c>
      <c r="F91" s="148" t="s">
        <v>26</v>
      </c>
      <c r="G91" s="148" t="s">
        <v>26</v>
      </c>
      <c r="H91" s="148" t="s">
        <v>26</v>
      </c>
      <c r="I91" s="13">
        <f t="shared" si="39"/>
        <v>34885895.969999999</v>
      </c>
      <c r="J91" s="13">
        <v>0</v>
      </c>
      <c r="K91" s="13">
        <v>0</v>
      </c>
      <c r="L91" s="13">
        <v>5693965.7800000003</v>
      </c>
      <c r="M91" s="13">
        <f>6850000-980000+165000-839016.36</f>
        <v>5195983.6399999997</v>
      </c>
      <c r="N91" s="15">
        <v>3680125.3</v>
      </c>
      <c r="O91" s="15">
        <v>5464833.0899999999</v>
      </c>
      <c r="P91" s="15">
        <v>5206201.8499999996</v>
      </c>
      <c r="Q91" s="15">
        <v>4794114.13</v>
      </c>
      <c r="R91" s="15">
        <v>4850672.18</v>
      </c>
      <c r="S91" s="39">
        <v>0</v>
      </c>
      <c r="T91" s="47">
        <v>0</v>
      </c>
      <c r="U91" s="47">
        <v>0</v>
      </c>
      <c r="V91" s="1"/>
      <c r="W91" s="1"/>
      <c r="X91" s="1"/>
      <c r="Y91" s="1"/>
      <c r="Z91" s="1"/>
      <c r="AA91" s="1"/>
      <c r="AB91" s="1"/>
      <c r="AC91" s="1"/>
      <c r="AD91" s="1"/>
      <c r="AE91" s="1"/>
      <c r="AF91" s="1"/>
      <c r="AG91" s="1"/>
      <c r="AH91" s="1"/>
    </row>
    <row r="92" spans="1:34" s="8" customFormat="1" ht="35.25" customHeight="1" x14ac:dyDescent="0.25">
      <c r="A92" s="186"/>
      <c r="B92" s="193"/>
      <c r="C92" s="54" t="s">
        <v>98</v>
      </c>
      <c r="D92" s="187"/>
      <c r="E92" s="148" t="s">
        <v>26</v>
      </c>
      <c r="F92" s="148" t="s">
        <v>26</v>
      </c>
      <c r="G92" s="148" t="s">
        <v>26</v>
      </c>
      <c r="H92" s="148" t="s">
        <v>26</v>
      </c>
      <c r="I92" s="13">
        <f t="shared" si="39"/>
        <v>32533020.629999999</v>
      </c>
      <c r="J92" s="13">
        <v>0</v>
      </c>
      <c r="K92" s="13">
        <v>0</v>
      </c>
      <c r="L92" s="13">
        <v>2313950.5099999998</v>
      </c>
      <c r="M92" s="15">
        <f>2980000+1201500-21452.19</f>
        <v>4160047.81</v>
      </c>
      <c r="N92" s="15">
        <v>2015225.49</v>
      </c>
      <c r="O92" s="15">
        <v>5027026.58</v>
      </c>
      <c r="P92" s="15">
        <v>6695877.3399999999</v>
      </c>
      <c r="Q92" s="15">
        <v>6762038.2199999997</v>
      </c>
      <c r="R92" s="15">
        <v>5558854.6799999997</v>
      </c>
      <c r="S92" s="39">
        <v>0</v>
      </c>
      <c r="T92" s="47">
        <v>0</v>
      </c>
      <c r="U92" s="47">
        <v>0</v>
      </c>
      <c r="V92" s="1"/>
      <c r="W92" s="1"/>
      <c r="X92" s="1"/>
      <c r="Y92" s="1"/>
      <c r="Z92" s="1"/>
      <c r="AA92" s="1"/>
      <c r="AB92" s="1"/>
      <c r="AC92" s="1"/>
      <c r="AD92" s="1"/>
      <c r="AE92" s="1"/>
      <c r="AF92" s="1"/>
      <c r="AG92" s="1"/>
      <c r="AH92" s="1"/>
    </row>
    <row r="93" spans="1:34" s="8" customFormat="1" ht="33" customHeight="1" x14ac:dyDescent="0.25">
      <c r="A93" s="186"/>
      <c r="B93" s="193"/>
      <c r="C93" s="54" t="s">
        <v>99</v>
      </c>
      <c r="D93" s="187"/>
      <c r="E93" s="148" t="s">
        <v>26</v>
      </c>
      <c r="F93" s="148" t="s">
        <v>26</v>
      </c>
      <c r="G93" s="148" t="s">
        <v>26</v>
      </c>
      <c r="H93" s="148" t="s">
        <v>26</v>
      </c>
      <c r="I93" s="13">
        <f t="shared" si="39"/>
        <v>19701107.010000002</v>
      </c>
      <c r="J93" s="13">
        <v>0</v>
      </c>
      <c r="K93" s="13">
        <v>0</v>
      </c>
      <c r="L93" s="13">
        <v>1745553.65</v>
      </c>
      <c r="M93" s="13">
        <f>3510000-61796.27</f>
        <v>3448203.73</v>
      </c>
      <c r="N93" s="13">
        <v>1152870.75</v>
      </c>
      <c r="O93" s="13">
        <v>3045015.33</v>
      </c>
      <c r="P93" s="15">
        <v>3354583.08</v>
      </c>
      <c r="Q93" s="15">
        <v>4352581.88</v>
      </c>
      <c r="R93" s="15">
        <v>2602298.59</v>
      </c>
      <c r="S93" s="39">
        <v>0</v>
      </c>
      <c r="T93" s="47">
        <v>0</v>
      </c>
      <c r="U93" s="47">
        <v>0</v>
      </c>
      <c r="V93" s="1"/>
      <c r="W93" s="1"/>
      <c r="X93" s="1"/>
      <c r="Y93" s="1"/>
      <c r="Z93" s="1"/>
      <c r="AA93" s="1"/>
      <c r="AB93" s="1"/>
      <c r="AC93" s="1"/>
      <c r="AD93" s="1"/>
      <c r="AE93" s="1"/>
      <c r="AF93" s="1"/>
      <c r="AG93" s="1"/>
      <c r="AH93" s="1"/>
    </row>
    <row r="94" spans="1:34" s="8" customFormat="1" ht="62.25" customHeight="1" x14ac:dyDescent="0.25">
      <c r="A94" s="172"/>
      <c r="B94" s="194"/>
      <c r="C94" s="54" t="s">
        <v>100</v>
      </c>
      <c r="D94" s="174"/>
      <c r="E94" s="148" t="s">
        <v>26</v>
      </c>
      <c r="F94" s="148" t="s">
        <v>26</v>
      </c>
      <c r="G94" s="148" t="s">
        <v>26</v>
      </c>
      <c r="H94" s="148" t="s">
        <v>101</v>
      </c>
      <c r="I94" s="13">
        <f t="shared" si="39"/>
        <v>8246439.96</v>
      </c>
      <c r="J94" s="13">
        <v>0</v>
      </c>
      <c r="K94" s="13">
        <v>0</v>
      </c>
      <c r="L94" s="13">
        <f>980000+100000+208000+390000</f>
        <v>1678000</v>
      </c>
      <c r="M94" s="15">
        <v>2068439.96</v>
      </c>
      <c r="N94" s="15">
        <v>1500000</v>
      </c>
      <c r="O94" s="15">
        <v>1500000</v>
      </c>
      <c r="P94" s="15">
        <v>1500000</v>
      </c>
      <c r="Q94" s="15">
        <v>0</v>
      </c>
      <c r="R94" s="15">
        <v>0</v>
      </c>
      <c r="S94" s="39">
        <v>0</v>
      </c>
      <c r="T94" s="47">
        <v>0</v>
      </c>
      <c r="U94" s="47">
        <v>0</v>
      </c>
      <c r="V94" s="1"/>
      <c r="W94" s="1"/>
      <c r="X94" s="1"/>
      <c r="Y94" s="1"/>
      <c r="Z94" s="1"/>
      <c r="AA94" s="1"/>
      <c r="AB94" s="1"/>
      <c r="AC94" s="1"/>
      <c r="AD94" s="1"/>
      <c r="AE94" s="1"/>
      <c r="AF94" s="1"/>
      <c r="AG94" s="1"/>
      <c r="AH94" s="1"/>
    </row>
    <row r="95" spans="1:34" s="8" customFormat="1" ht="50.25" customHeight="1" x14ac:dyDescent="0.25">
      <c r="A95" s="198">
        <v>35</v>
      </c>
      <c r="B95" s="197" t="s">
        <v>102</v>
      </c>
      <c r="C95" s="148" t="s">
        <v>103</v>
      </c>
      <c r="D95" s="173" t="s">
        <v>25</v>
      </c>
      <c r="E95" s="148" t="s">
        <v>26</v>
      </c>
      <c r="F95" s="148" t="s">
        <v>26</v>
      </c>
      <c r="G95" s="148" t="s">
        <v>26</v>
      </c>
      <c r="H95" s="148" t="s">
        <v>26</v>
      </c>
      <c r="I95" s="13">
        <f>SUM(J95:U95)</f>
        <v>48887839.280000001</v>
      </c>
      <c r="J95" s="13">
        <v>0</v>
      </c>
      <c r="K95" s="13">
        <v>0</v>
      </c>
      <c r="L95" s="13">
        <v>0</v>
      </c>
      <c r="M95" s="15">
        <f t="shared" ref="M95:U95" si="41">M96+M97+M99+M98</f>
        <v>8032917.1000000006</v>
      </c>
      <c r="N95" s="15">
        <f t="shared" si="41"/>
        <v>2108157.85</v>
      </c>
      <c r="O95" s="15">
        <f t="shared" si="41"/>
        <v>2703056.5300000003</v>
      </c>
      <c r="P95" s="16">
        <f t="shared" si="41"/>
        <v>3823666.7300000004</v>
      </c>
      <c r="Q95" s="16">
        <f t="shared" si="41"/>
        <v>3360216.7600000002</v>
      </c>
      <c r="R95" s="16">
        <f t="shared" si="41"/>
        <v>5809548.3099999996</v>
      </c>
      <c r="S95" s="16">
        <f t="shared" si="41"/>
        <v>7487052</v>
      </c>
      <c r="T95" s="16">
        <f t="shared" si="41"/>
        <v>7781612</v>
      </c>
      <c r="U95" s="16">
        <f t="shared" si="41"/>
        <v>7781612</v>
      </c>
      <c r="V95" s="1"/>
      <c r="W95" s="1"/>
      <c r="X95" s="1"/>
      <c r="Y95" s="1"/>
      <c r="Z95" s="1"/>
      <c r="AA95" s="1"/>
      <c r="AB95" s="1"/>
      <c r="AC95" s="1"/>
      <c r="AD95" s="1"/>
      <c r="AE95" s="1"/>
      <c r="AF95" s="1"/>
      <c r="AG95" s="1"/>
      <c r="AH95" s="1"/>
    </row>
    <row r="96" spans="1:34" s="8" customFormat="1" ht="33" customHeight="1" x14ac:dyDescent="0.25">
      <c r="A96" s="199"/>
      <c r="B96" s="193"/>
      <c r="C96" s="54" t="s">
        <v>43</v>
      </c>
      <c r="D96" s="187"/>
      <c r="E96" s="148" t="s">
        <v>26</v>
      </c>
      <c r="F96" s="148" t="s">
        <v>26</v>
      </c>
      <c r="G96" s="148" t="s">
        <v>26</v>
      </c>
      <c r="H96" s="148" t="s">
        <v>26</v>
      </c>
      <c r="I96" s="13">
        <f t="shared" ref="I96:I100" si="42">SUM(J96:U96)</f>
        <v>12406355.719999999</v>
      </c>
      <c r="J96" s="13">
        <v>0</v>
      </c>
      <c r="K96" s="13">
        <v>0</v>
      </c>
      <c r="L96" s="13">
        <v>0</v>
      </c>
      <c r="M96" s="15">
        <f>2000000-7063.38</f>
        <v>1992936.62</v>
      </c>
      <c r="N96" s="15">
        <f>272033-3435.81</f>
        <v>268597.19</v>
      </c>
      <c r="O96" s="15">
        <v>370568.7</v>
      </c>
      <c r="P96" s="15">
        <v>1367925.6</v>
      </c>
      <c r="Q96" s="15">
        <v>991786.18</v>
      </c>
      <c r="R96" s="15">
        <v>1653094.43</v>
      </c>
      <c r="S96" s="15">
        <v>1822791</v>
      </c>
      <c r="T96" s="19">
        <v>1969328</v>
      </c>
      <c r="U96" s="19">
        <v>1969328</v>
      </c>
      <c r="V96" s="1"/>
      <c r="W96" s="1"/>
      <c r="X96" s="1"/>
      <c r="Y96" s="1"/>
      <c r="Z96" s="1"/>
      <c r="AA96" s="1"/>
      <c r="AB96" s="1"/>
      <c r="AC96" s="1"/>
      <c r="AD96" s="1"/>
      <c r="AE96" s="1"/>
      <c r="AF96" s="1"/>
      <c r="AG96" s="1"/>
      <c r="AH96" s="1"/>
    </row>
    <row r="97" spans="1:34" s="8" customFormat="1" ht="34.5" customHeight="1" x14ac:dyDescent="0.25">
      <c r="A97" s="199"/>
      <c r="B97" s="193"/>
      <c r="C97" s="54" t="s">
        <v>44</v>
      </c>
      <c r="D97" s="187"/>
      <c r="E97" s="148" t="s">
        <v>26</v>
      </c>
      <c r="F97" s="148" t="s">
        <v>26</v>
      </c>
      <c r="G97" s="148" t="s">
        <v>26</v>
      </c>
      <c r="H97" s="148" t="s">
        <v>26</v>
      </c>
      <c r="I97" s="13">
        <f t="shared" si="42"/>
        <v>7213778.5999999996</v>
      </c>
      <c r="J97" s="13">
        <v>0</v>
      </c>
      <c r="K97" s="13">
        <v>0</v>
      </c>
      <c r="L97" s="13">
        <v>0</v>
      </c>
      <c r="M97" s="15">
        <f>1300000-136264.12</f>
        <v>1163735.8799999999</v>
      </c>
      <c r="N97" s="15">
        <v>550307.54</v>
      </c>
      <c r="O97" s="15">
        <v>1762360.87</v>
      </c>
      <c r="P97" s="15">
        <v>108285.6</v>
      </c>
      <c r="Q97" s="15">
        <v>350043.86</v>
      </c>
      <c r="R97" s="15">
        <v>745748.85</v>
      </c>
      <c r="S97" s="15">
        <v>745750</v>
      </c>
      <c r="T97" s="19">
        <v>893773</v>
      </c>
      <c r="U97" s="19">
        <v>893773</v>
      </c>
      <c r="V97" s="1"/>
      <c r="W97" s="1"/>
      <c r="X97" s="1"/>
      <c r="Y97" s="1"/>
      <c r="Z97" s="1"/>
      <c r="AA97" s="1"/>
      <c r="AB97" s="1"/>
      <c r="AC97" s="1"/>
      <c r="AD97" s="1"/>
      <c r="AE97" s="1"/>
      <c r="AF97" s="1"/>
      <c r="AG97" s="1"/>
      <c r="AH97" s="1"/>
    </row>
    <row r="98" spans="1:34" s="8" customFormat="1" ht="33.75" customHeight="1" x14ac:dyDescent="0.25">
      <c r="A98" s="199"/>
      <c r="B98" s="193"/>
      <c r="C98" s="54" t="s">
        <v>92</v>
      </c>
      <c r="D98" s="187"/>
      <c r="E98" s="148" t="s">
        <v>26</v>
      </c>
      <c r="F98" s="148" t="s">
        <v>26</v>
      </c>
      <c r="G98" s="148" t="s">
        <v>26</v>
      </c>
      <c r="H98" s="148" t="s">
        <v>26</v>
      </c>
      <c r="I98" s="13">
        <f t="shared" si="42"/>
        <v>14083167.890000001</v>
      </c>
      <c r="J98" s="13">
        <v>0</v>
      </c>
      <c r="K98" s="13">
        <v>0</v>
      </c>
      <c r="L98" s="13">
        <v>0</v>
      </c>
      <c r="M98" s="15">
        <f>2800000-6392.8</f>
        <v>2793607.2</v>
      </c>
      <c r="N98" s="15">
        <v>0</v>
      </c>
      <c r="O98" s="15">
        <v>0</v>
      </c>
      <c r="P98" s="15">
        <v>518223.78</v>
      </c>
      <c r="Q98" s="15">
        <v>499253.9</v>
      </c>
      <c r="R98" s="15">
        <v>1816550.01</v>
      </c>
      <c r="S98" s="15">
        <v>2818511</v>
      </c>
      <c r="T98" s="15">
        <v>2818511</v>
      </c>
      <c r="U98" s="15">
        <v>2818511</v>
      </c>
      <c r="V98" s="1"/>
      <c r="W98" s="1"/>
      <c r="X98" s="1"/>
      <c r="Y98" s="1"/>
      <c r="Z98" s="1"/>
      <c r="AA98" s="1"/>
      <c r="AB98" s="1"/>
      <c r="AC98" s="1"/>
      <c r="AD98" s="1"/>
      <c r="AE98" s="1"/>
      <c r="AF98" s="1"/>
      <c r="AG98" s="1"/>
      <c r="AH98" s="1"/>
    </row>
    <row r="99" spans="1:34" s="8" customFormat="1" ht="40.5" customHeight="1" x14ac:dyDescent="0.25">
      <c r="A99" s="200"/>
      <c r="B99" s="194"/>
      <c r="C99" s="54" t="s">
        <v>45</v>
      </c>
      <c r="D99" s="174"/>
      <c r="E99" s="148" t="s">
        <v>26</v>
      </c>
      <c r="F99" s="148" t="s">
        <v>26</v>
      </c>
      <c r="G99" s="148" t="s">
        <v>26</v>
      </c>
      <c r="H99" s="148" t="s">
        <v>26</v>
      </c>
      <c r="I99" s="13">
        <f t="shared" si="42"/>
        <v>15184537.07</v>
      </c>
      <c r="J99" s="13">
        <v>0</v>
      </c>
      <c r="K99" s="13">
        <v>0</v>
      </c>
      <c r="L99" s="13">
        <v>0</v>
      </c>
      <c r="M99" s="15">
        <f>2100000-17362.6</f>
        <v>2082637.4</v>
      </c>
      <c r="N99" s="15">
        <v>1289253.1200000001</v>
      </c>
      <c r="O99" s="15">
        <v>570126.96</v>
      </c>
      <c r="P99" s="15">
        <v>1829231.75</v>
      </c>
      <c r="Q99" s="15">
        <v>1519132.82</v>
      </c>
      <c r="R99" s="15">
        <v>1594155.02</v>
      </c>
      <c r="S99" s="15">
        <v>2100000</v>
      </c>
      <c r="T99" s="15">
        <v>2100000</v>
      </c>
      <c r="U99" s="15">
        <v>2100000</v>
      </c>
      <c r="V99" s="1"/>
      <c r="W99" s="1"/>
      <c r="X99" s="1"/>
      <c r="Y99" s="1"/>
      <c r="Z99" s="1"/>
      <c r="AA99" s="1"/>
      <c r="AB99" s="1"/>
      <c r="AC99" s="1"/>
      <c r="AD99" s="1"/>
      <c r="AE99" s="1"/>
      <c r="AF99" s="1"/>
      <c r="AG99" s="1"/>
      <c r="AH99" s="1"/>
    </row>
    <row r="100" spans="1:34" s="58" customFormat="1" ht="76.5" customHeight="1" x14ac:dyDescent="0.3">
      <c r="A100" s="191">
        <v>36</v>
      </c>
      <c r="B100" s="193" t="s">
        <v>291</v>
      </c>
      <c r="C100" s="195" t="s">
        <v>94</v>
      </c>
      <c r="D100" s="57" t="s">
        <v>28</v>
      </c>
      <c r="E100" s="35" t="s">
        <v>26</v>
      </c>
      <c r="F100" s="35" t="s">
        <v>26</v>
      </c>
      <c r="G100" s="35" t="s">
        <v>26</v>
      </c>
      <c r="H100" s="35" t="s">
        <v>26</v>
      </c>
      <c r="I100" s="24">
        <f t="shared" si="42"/>
        <v>51508600</v>
      </c>
      <c r="J100" s="24">
        <v>0</v>
      </c>
      <c r="K100" s="24">
        <v>0</v>
      </c>
      <c r="L100" s="24">
        <v>0</v>
      </c>
      <c r="M100" s="24">
        <v>0</v>
      </c>
      <c r="N100" s="24">
        <v>0</v>
      </c>
      <c r="O100" s="24">
        <v>0</v>
      </c>
      <c r="P100" s="24">
        <v>0</v>
      </c>
      <c r="Q100" s="24">
        <v>0</v>
      </c>
      <c r="R100" s="24">
        <v>36958600</v>
      </c>
      <c r="S100" s="24">
        <v>14550000</v>
      </c>
      <c r="T100" s="24">
        <v>0</v>
      </c>
      <c r="U100" s="24">
        <v>0</v>
      </c>
    </row>
    <row r="101" spans="1:34" s="58" customFormat="1" ht="86.25" customHeight="1" x14ac:dyDescent="0.3">
      <c r="A101" s="192"/>
      <c r="B101" s="194"/>
      <c r="C101" s="196"/>
      <c r="D101" s="35" t="s">
        <v>27</v>
      </c>
      <c r="E101" s="35" t="s">
        <v>26</v>
      </c>
      <c r="F101" s="35" t="s">
        <v>26</v>
      </c>
      <c r="G101" s="35" t="s">
        <v>26</v>
      </c>
      <c r="H101" s="35" t="s">
        <v>26</v>
      </c>
      <c r="I101" s="24">
        <f>SUM(J101:U101)</f>
        <v>1593049.48</v>
      </c>
      <c r="J101" s="24">
        <v>0</v>
      </c>
      <c r="K101" s="24">
        <v>0</v>
      </c>
      <c r="L101" s="24">
        <v>0</v>
      </c>
      <c r="M101" s="24">
        <v>0</v>
      </c>
      <c r="N101" s="24">
        <v>0</v>
      </c>
      <c r="O101" s="24">
        <v>0</v>
      </c>
      <c r="P101" s="24">
        <v>0</v>
      </c>
      <c r="Q101" s="24">
        <v>0</v>
      </c>
      <c r="R101" s="27">
        <v>1143049.48</v>
      </c>
      <c r="S101" s="24">
        <v>450000</v>
      </c>
      <c r="T101" s="24">
        <v>0</v>
      </c>
      <c r="U101" s="24">
        <v>0</v>
      </c>
    </row>
    <row r="102" spans="1:34" s="8" customFormat="1" ht="48" customHeight="1" x14ac:dyDescent="0.25">
      <c r="A102" s="168">
        <v>37</v>
      </c>
      <c r="B102" s="169" t="s">
        <v>104</v>
      </c>
      <c r="C102" s="148" t="s">
        <v>103</v>
      </c>
      <c r="D102" s="148" t="s">
        <v>25</v>
      </c>
      <c r="E102" s="148" t="s">
        <v>26</v>
      </c>
      <c r="F102" s="148" t="s">
        <v>26</v>
      </c>
      <c r="G102" s="148" t="s">
        <v>26</v>
      </c>
      <c r="H102" s="148" t="s">
        <v>26</v>
      </c>
      <c r="I102" s="13">
        <f>SUM(J102:U102)</f>
        <v>10936468.82</v>
      </c>
      <c r="J102" s="13">
        <f>J103+J104+J106</f>
        <v>505600</v>
      </c>
      <c r="K102" s="13">
        <f>K103+K104+K106</f>
        <v>714169</v>
      </c>
      <c r="L102" s="13">
        <f>L107</f>
        <v>597927.74</v>
      </c>
      <c r="M102" s="13">
        <f>M107</f>
        <v>872530.56</v>
      </c>
      <c r="N102" s="13">
        <f t="shared" ref="N102:T102" si="43">SUM(N103:N106)</f>
        <v>977147.97</v>
      </c>
      <c r="O102" s="13">
        <f t="shared" si="43"/>
        <v>1231657.8500000001</v>
      </c>
      <c r="P102" s="14">
        <f t="shared" si="43"/>
        <v>114421.2</v>
      </c>
      <c r="Q102" s="14">
        <f t="shared" si="43"/>
        <v>655009.36</v>
      </c>
      <c r="R102" s="14">
        <f t="shared" si="43"/>
        <v>1308005.1399999999</v>
      </c>
      <c r="S102" s="14">
        <f t="shared" ref="S102" si="44">SUM(S103:S106)</f>
        <v>1320000</v>
      </c>
      <c r="T102" s="56">
        <f t="shared" si="43"/>
        <v>1320000</v>
      </c>
      <c r="U102" s="14">
        <f t="shared" ref="U102" si="45">SUM(U103:U106)</f>
        <v>1320000</v>
      </c>
      <c r="V102" s="1"/>
      <c r="W102" s="1"/>
      <c r="X102" s="1"/>
      <c r="Y102" s="1"/>
      <c r="Z102" s="1"/>
      <c r="AA102" s="1"/>
      <c r="AB102" s="1"/>
      <c r="AC102" s="1"/>
      <c r="AD102" s="1"/>
      <c r="AE102" s="1"/>
      <c r="AF102" s="1"/>
      <c r="AG102" s="1"/>
      <c r="AH102" s="1"/>
    </row>
    <row r="103" spans="1:34" s="8" customFormat="1" ht="38.25" customHeight="1" x14ac:dyDescent="0.25">
      <c r="A103" s="168"/>
      <c r="B103" s="169"/>
      <c r="C103" s="148" t="s">
        <v>43</v>
      </c>
      <c r="D103" s="148" t="s">
        <v>25</v>
      </c>
      <c r="E103" s="148" t="s">
        <v>26</v>
      </c>
      <c r="F103" s="148" t="s">
        <v>26</v>
      </c>
      <c r="G103" s="148" t="s">
        <v>26</v>
      </c>
      <c r="H103" s="148" t="s">
        <v>26</v>
      </c>
      <c r="I103" s="13">
        <f t="shared" ref="I103:I107" si="46">SUM(J103:U103)</f>
        <v>1074219</v>
      </c>
      <c r="J103" s="13">
        <f t="shared" ref="J103:U103" si="47">J109</f>
        <v>52000</v>
      </c>
      <c r="K103" s="24">
        <f t="shared" si="47"/>
        <v>182000</v>
      </c>
      <c r="L103" s="24">
        <f t="shared" si="47"/>
        <v>82073</v>
      </c>
      <c r="M103" s="24">
        <f t="shared" si="47"/>
        <v>82073</v>
      </c>
      <c r="N103" s="24">
        <f t="shared" si="47"/>
        <v>82073</v>
      </c>
      <c r="O103" s="24">
        <f t="shared" si="47"/>
        <v>82000</v>
      </c>
      <c r="P103" s="24">
        <f t="shared" si="47"/>
        <v>32000</v>
      </c>
      <c r="Q103" s="59">
        <f t="shared" si="47"/>
        <v>80000</v>
      </c>
      <c r="R103" s="59">
        <f t="shared" si="47"/>
        <v>100000</v>
      </c>
      <c r="S103" s="59">
        <f t="shared" si="47"/>
        <v>100000</v>
      </c>
      <c r="T103" s="60">
        <f t="shared" si="47"/>
        <v>100000</v>
      </c>
      <c r="U103" s="59">
        <f t="shared" si="47"/>
        <v>100000</v>
      </c>
      <c r="V103" s="1"/>
      <c r="W103" s="1"/>
      <c r="X103" s="1"/>
      <c r="Y103" s="1"/>
      <c r="Z103" s="1"/>
      <c r="AA103" s="1"/>
      <c r="AB103" s="1"/>
      <c r="AC103" s="1"/>
      <c r="AD103" s="1"/>
      <c r="AE103" s="1"/>
      <c r="AF103" s="1"/>
      <c r="AG103" s="1"/>
      <c r="AH103" s="1"/>
    </row>
    <row r="104" spans="1:34" s="8" customFormat="1" ht="39.75" customHeight="1" x14ac:dyDescent="0.25">
      <c r="A104" s="168"/>
      <c r="B104" s="169"/>
      <c r="C104" s="148" t="s">
        <v>45</v>
      </c>
      <c r="D104" s="148" t="s">
        <v>25</v>
      </c>
      <c r="E104" s="148" t="s">
        <v>26</v>
      </c>
      <c r="F104" s="148" t="s">
        <v>26</v>
      </c>
      <c r="G104" s="148" t="s">
        <v>26</v>
      </c>
      <c r="H104" s="148" t="s">
        <v>26</v>
      </c>
      <c r="I104" s="13">
        <f t="shared" si="46"/>
        <v>6073221.2300000004</v>
      </c>
      <c r="J104" s="13">
        <f>J111</f>
        <v>453600</v>
      </c>
      <c r="K104" s="13">
        <f>K111</f>
        <v>340069</v>
      </c>
      <c r="L104" s="13">
        <v>384834.91</v>
      </c>
      <c r="M104" s="13">
        <f t="shared" ref="M104:U104" si="48">M111</f>
        <v>433000</v>
      </c>
      <c r="N104" s="13">
        <f t="shared" si="48"/>
        <v>409237</v>
      </c>
      <c r="O104" s="13">
        <f t="shared" si="48"/>
        <v>533073.80000000005</v>
      </c>
      <c r="P104" s="13">
        <f t="shared" si="48"/>
        <v>48665.2</v>
      </c>
      <c r="Q104" s="13">
        <f t="shared" si="48"/>
        <v>398404.36</v>
      </c>
      <c r="R104" s="13">
        <f t="shared" si="48"/>
        <v>672336.96</v>
      </c>
      <c r="S104" s="13">
        <f t="shared" si="48"/>
        <v>800000</v>
      </c>
      <c r="T104" s="56">
        <f t="shared" si="48"/>
        <v>800000</v>
      </c>
      <c r="U104" s="14">
        <f t="shared" si="48"/>
        <v>800000</v>
      </c>
      <c r="V104" s="1"/>
      <c r="W104" s="1"/>
      <c r="X104" s="1"/>
      <c r="Y104" s="1"/>
      <c r="Z104" s="1"/>
      <c r="AA104" s="1"/>
      <c r="AB104" s="1"/>
      <c r="AC104" s="1"/>
      <c r="AD104" s="1"/>
      <c r="AE104" s="1"/>
      <c r="AF104" s="1"/>
      <c r="AG104" s="1"/>
      <c r="AH104" s="1"/>
    </row>
    <row r="105" spans="1:34" s="8" customFormat="1" ht="40.5" customHeight="1" x14ac:dyDescent="0.25">
      <c r="A105" s="168"/>
      <c r="B105" s="169"/>
      <c r="C105" s="148" t="s">
        <v>105</v>
      </c>
      <c r="D105" s="148" t="s">
        <v>25</v>
      </c>
      <c r="E105" s="148" t="s">
        <v>26</v>
      </c>
      <c r="F105" s="148" t="s">
        <v>26</v>
      </c>
      <c r="G105" s="148" t="s">
        <v>26</v>
      </c>
      <c r="H105" s="148" t="s">
        <v>26</v>
      </c>
      <c r="I105" s="13">
        <f t="shared" si="46"/>
        <v>947745</v>
      </c>
      <c r="J105" s="13">
        <v>0</v>
      </c>
      <c r="K105" s="24">
        <v>0</v>
      </c>
      <c r="L105" s="24">
        <f t="shared" ref="L105:U105" si="49">L110</f>
        <v>0</v>
      </c>
      <c r="M105" s="24">
        <f t="shared" si="49"/>
        <v>51973</v>
      </c>
      <c r="N105" s="13">
        <f t="shared" si="49"/>
        <v>199336.95</v>
      </c>
      <c r="O105" s="24">
        <f t="shared" si="49"/>
        <v>217379.05</v>
      </c>
      <c r="P105" s="24">
        <f t="shared" si="49"/>
        <v>33756</v>
      </c>
      <c r="Q105" s="24">
        <f t="shared" si="49"/>
        <v>0</v>
      </c>
      <c r="R105" s="24">
        <f t="shared" si="49"/>
        <v>85300</v>
      </c>
      <c r="S105" s="24">
        <f t="shared" si="49"/>
        <v>120000</v>
      </c>
      <c r="T105" s="26">
        <f t="shared" si="49"/>
        <v>120000</v>
      </c>
      <c r="U105" s="26">
        <f t="shared" si="49"/>
        <v>120000</v>
      </c>
      <c r="V105" s="1"/>
      <c r="W105" s="1"/>
      <c r="X105" s="1"/>
      <c r="Y105" s="1"/>
      <c r="Z105" s="1"/>
      <c r="AA105" s="1"/>
      <c r="AB105" s="1"/>
      <c r="AC105" s="1"/>
      <c r="AD105" s="1"/>
      <c r="AE105" s="1"/>
      <c r="AF105" s="1"/>
      <c r="AG105" s="1"/>
      <c r="AH105" s="1"/>
    </row>
    <row r="106" spans="1:34" s="8" customFormat="1" ht="41.25" customHeight="1" x14ac:dyDescent="0.25">
      <c r="A106" s="168"/>
      <c r="B106" s="169"/>
      <c r="C106" s="148" t="s">
        <v>106</v>
      </c>
      <c r="D106" s="148" t="s">
        <v>25</v>
      </c>
      <c r="E106" s="148" t="s">
        <v>26</v>
      </c>
      <c r="F106" s="148" t="s">
        <v>26</v>
      </c>
      <c r="G106" s="148" t="s">
        <v>26</v>
      </c>
      <c r="H106" s="148" t="s">
        <v>26</v>
      </c>
      <c r="I106" s="13">
        <f t="shared" si="46"/>
        <v>2841283.59</v>
      </c>
      <c r="J106" s="13">
        <f t="shared" ref="J106:U106" si="50">J112</f>
        <v>0</v>
      </c>
      <c r="K106" s="13">
        <f t="shared" si="50"/>
        <v>192100</v>
      </c>
      <c r="L106" s="13">
        <f t="shared" si="50"/>
        <v>131019.83</v>
      </c>
      <c r="M106" s="13">
        <f t="shared" si="50"/>
        <v>305484.56</v>
      </c>
      <c r="N106" s="13">
        <f t="shared" si="50"/>
        <v>286501.02</v>
      </c>
      <c r="O106" s="13">
        <f t="shared" si="50"/>
        <v>399205</v>
      </c>
      <c r="P106" s="13">
        <f t="shared" si="50"/>
        <v>0</v>
      </c>
      <c r="Q106" s="13">
        <f t="shared" si="50"/>
        <v>176605</v>
      </c>
      <c r="R106" s="13">
        <f t="shared" si="50"/>
        <v>450368.18</v>
      </c>
      <c r="S106" s="13">
        <f t="shared" si="50"/>
        <v>300000</v>
      </c>
      <c r="T106" s="13">
        <f t="shared" si="50"/>
        <v>300000</v>
      </c>
      <c r="U106" s="13">
        <f t="shared" si="50"/>
        <v>300000</v>
      </c>
      <c r="V106" s="1"/>
      <c r="W106" s="1"/>
      <c r="X106" s="1"/>
      <c r="Y106" s="1"/>
      <c r="Z106" s="1"/>
      <c r="AA106" s="1"/>
      <c r="AB106" s="1"/>
      <c r="AC106" s="1"/>
      <c r="AD106" s="1"/>
      <c r="AE106" s="1"/>
      <c r="AF106" s="1"/>
      <c r="AG106" s="1"/>
      <c r="AH106" s="1"/>
    </row>
    <row r="107" spans="1:34" s="8" customFormat="1" ht="43.5" customHeight="1" x14ac:dyDescent="0.25">
      <c r="A107" s="168">
        <v>38</v>
      </c>
      <c r="B107" s="169" t="s">
        <v>107</v>
      </c>
      <c r="C107" s="148" t="s">
        <v>108</v>
      </c>
      <c r="D107" s="148" t="s">
        <v>25</v>
      </c>
      <c r="E107" s="148" t="s">
        <v>26</v>
      </c>
      <c r="F107" s="148" t="s">
        <v>26</v>
      </c>
      <c r="G107" s="148" t="s">
        <v>26</v>
      </c>
      <c r="H107" s="148" t="s">
        <v>26</v>
      </c>
      <c r="I107" s="13">
        <f t="shared" si="46"/>
        <v>10936468.82</v>
      </c>
      <c r="J107" s="13">
        <f>J109+J111+J112</f>
        <v>505600</v>
      </c>
      <c r="K107" s="13">
        <f>K109+K111+K112</f>
        <v>714169</v>
      </c>
      <c r="L107" s="13">
        <f t="shared" ref="L107:U107" si="51">L109+L111+L112+L110</f>
        <v>597927.74</v>
      </c>
      <c r="M107" s="13">
        <f t="shared" si="51"/>
        <v>872530.56</v>
      </c>
      <c r="N107" s="13">
        <f t="shared" si="51"/>
        <v>977147.97</v>
      </c>
      <c r="O107" s="13">
        <f t="shared" si="51"/>
        <v>1231657.8500000001</v>
      </c>
      <c r="P107" s="14">
        <f t="shared" si="51"/>
        <v>114421.2</v>
      </c>
      <c r="Q107" s="14">
        <f t="shared" si="51"/>
        <v>655009.36</v>
      </c>
      <c r="R107" s="14">
        <f t="shared" si="51"/>
        <v>1308005.1399999999</v>
      </c>
      <c r="S107" s="14">
        <f t="shared" si="51"/>
        <v>1320000</v>
      </c>
      <c r="T107" s="56">
        <f t="shared" si="51"/>
        <v>1320000</v>
      </c>
      <c r="U107" s="14">
        <f t="shared" si="51"/>
        <v>1320000</v>
      </c>
      <c r="V107" s="1"/>
      <c r="W107" s="1"/>
      <c r="X107" s="1"/>
      <c r="Y107" s="1"/>
      <c r="Z107" s="1"/>
      <c r="AA107" s="1"/>
      <c r="AB107" s="1"/>
      <c r="AC107" s="1"/>
      <c r="AD107" s="1"/>
      <c r="AE107" s="1"/>
      <c r="AF107" s="1"/>
      <c r="AG107" s="1"/>
      <c r="AH107" s="1"/>
    </row>
    <row r="108" spans="1:34" s="8" customFormat="1" ht="24.75" customHeight="1" x14ac:dyDescent="0.25">
      <c r="A108" s="168"/>
      <c r="B108" s="169"/>
      <c r="C108" s="148" t="s">
        <v>41</v>
      </c>
      <c r="D108" s="201"/>
      <c r="E108" s="202"/>
      <c r="F108" s="202"/>
      <c r="G108" s="202"/>
      <c r="H108" s="202"/>
      <c r="I108" s="202"/>
      <c r="J108" s="202"/>
      <c r="K108" s="202"/>
      <c r="L108" s="202"/>
      <c r="M108" s="202"/>
      <c r="N108" s="203"/>
      <c r="O108" s="15"/>
      <c r="P108" s="15"/>
      <c r="Q108" s="15"/>
      <c r="R108" s="15"/>
      <c r="S108" s="20"/>
      <c r="T108" s="61"/>
      <c r="U108" s="20"/>
      <c r="V108" s="1"/>
      <c r="W108" s="1"/>
      <c r="X108" s="1"/>
      <c r="Y108" s="1"/>
      <c r="Z108" s="1"/>
      <c r="AA108" s="1"/>
      <c r="AB108" s="1"/>
      <c r="AC108" s="1"/>
      <c r="AD108" s="1"/>
      <c r="AE108" s="1"/>
      <c r="AF108" s="1"/>
      <c r="AG108" s="1"/>
      <c r="AH108" s="1"/>
    </row>
    <row r="109" spans="1:34" s="8" customFormat="1" ht="39" customHeight="1" x14ac:dyDescent="0.25">
      <c r="A109" s="168"/>
      <c r="B109" s="169"/>
      <c r="C109" s="148" t="s">
        <v>43</v>
      </c>
      <c r="D109" s="148" t="s">
        <v>25</v>
      </c>
      <c r="E109" s="148" t="s">
        <v>26</v>
      </c>
      <c r="F109" s="148" t="s">
        <v>26</v>
      </c>
      <c r="G109" s="148" t="s">
        <v>26</v>
      </c>
      <c r="H109" s="148" t="s">
        <v>26</v>
      </c>
      <c r="I109" s="13">
        <f>SUM(J109:U109)</f>
        <v>1074219</v>
      </c>
      <c r="J109" s="13">
        <v>52000</v>
      </c>
      <c r="K109" s="24">
        <f>252000-70000</f>
        <v>182000</v>
      </c>
      <c r="L109" s="24">
        <v>82073</v>
      </c>
      <c r="M109" s="27">
        <f>L109</f>
        <v>82073</v>
      </c>
      <c r="N109" s="24">
        <v>82073</v>
      </c>
      <c r="O109" s="24">
        <v>82000</v>
      </c>
      <c r="P109" s="15">
        <v>32000</v>
      </c>
      <c r="Q109" s="15">
        <v>80000</v>
      </c>
      <c r="R109" s="15">
        <v>100000</v>
      </c>
      <c r="S109" s="15">
        <v>100000</v>
      </c>
      <c r="T109" s="19">
        <v>100000</v>
      </c>
      <c r="U109" s="19">
        <v>100000</v>
      </c>
      <c r="V109" s="1"/>
      <c r="W109" s="1"/>
      <c r="X109" s="1"/>
      <c r="Y109" s="1"/>
      <c r="Z109" s="1"/>
      <c r="AA109" s="1"/>
      <c r="AB109" s="1"/>
      <c r="AC109" s="1"/>
      <c r="AD109" s="1"/>
      <c r="AE109" s="1"/>
      <c r="AF109" s="1"/>
      <c r="AG109" s="1"/>
      <c r="AH109" s="1"/>
    </row>
    <row r="110" spans="1:34" s="8" customFormat="1" ht="38.25" customHeight="1" x14ac:dyDescent="0.25">
      <c r="A110" s="168"/>
      <c r="B110" s="169"/>
      <c r="C110" s="148" t="s">
        <v>105</v>
      </c>
      <c r="D110" s="148" t="s">
        <v>25</v>
      </c>
      <c r="E110" s="148" t="s">
        <v>26</v>
      </c>
      <c r="F110" s="148" t="s">
        <v>26</v>
      </c>
      <c r="G110" s="148" t="s">
        <v>26</v>
      </c>
      <c r="H110" s="148" t="s">
        <v>26</v>
      </c>
      <c r="I110" s="13">
        <f t="shared" ref="I110:I112" si="52">SUM(J110:U110)</f>
        <v>947745</v>
      </c>
      <c r="J110" s="13">
        <v>0</v>
      </c>
      <c r="K110" s="24">
        <v>0</v>
      </c>
      <c r="L110" s="24">
        <v>0</v>
      </c>
      <c r="M110" s="27">
        <f>91480-39507</f>
        <v>51973</v>
      </c>
      <c r="N110" s="24">
        <v>199336.95</v>
      </c>
      <c r="O110" s="27">
        <v>217379.05</v>
      </c>
      <c r="P110" s="15">
        <v>33756</v>
      </c>
      <c r="Q110" s="15">
        <v>0</v>
      </c>
      <c r="R110" s="15">
        <v>85300</v>
      </c>
      <c r="S110" s="15">
        <v>120000</v>
      </c>
      <c r="T110" s="15">
        <v>120000</v>
      </c>
      <c r="U110" s="15">
        <v>120000</v>
      </c>
      <c r="V110" s="1"/>
      <c r="W110" s="1"/>
      <c r="X110" s="1"/>
      <c r="Y110" s="1"/>
      <c r="Z110" s="1"/>
      <c r="AA110" s="1"/>
      <c r="AB110" s="1"/>
      <c r="AC110" s="1"/>
      <c r="AD110" s="1"/>
      <c r="AE110" s="1"/>
      <c r="AF110" s="1"/>
      <c r="AG110" s="1"/>
      <c r="AH110" s="1"/>
    </row>
    <row r="111" spans="1:34" s="8" customFormat="1" ht="35.25" customHeight="1" x14ac:dyDescent="0.25">
      <c r="A111" s="168"/>
      <c r="B111" s="169"/>
      <c r="C111" s="148" t="s">
        <v>45</v>
      </c>
      <c r="D111" s="148" t="s">
        <v>25</v>
      </c>
      <c r="E111" s="148" t="s">
        <v>26</v>
      </c>
      <c r="F111" s="148" t="s">
        <v>26</v>
      </c>
      <c r="G111" s="148" t="s">
        <v>26</v>
      </c>
      <c r="H111" s="148" t="s">
        <v>26</v>
      </c>
      <c r="I111" s="13">
        <f t="shared" si="52"/>
        <v>6073221.2300000004</v>
      </c>
      <c r="J111" s="13">
        <v>453600</v>
      </c>
      <c r="K111" s="24">
        <f>361600-37731+16200</f>
        <v>340069</v>
      </c>
      <c r="L111" s="13">
        <v>384834.91</v>
      </c>
      <c r="M111" s="27">
        <f>454114-21114</f>
        <v>433000</v>
      </c>
      <c r="N111" s="27">
        <v>409237</v>
      </c>
      <c r="O111" s="27">
        <v>533073.80000000005</v>
      </c>
      <c r="P111" s="15">
        <v>48665.2</v>
      </c>
      <c r="Q111" s="15">
        <v>398404.36</v>
      </c>
      <c r="R111" s="15">
        <v>672336.96</v>
      </c>
      <c r="S111" s="15">
        <v>800000</v>
      </c>
      <c r="T111" s="15">
        <v>800000</v>
      </c>
      <c r="U111" s="15">
        <v>800000</v>
      </c>
      <c r="V111" s="1"/>
      <c r="W111" s="1"/>
      <c r="X111" s="1"/>
      <c r="Y111" s="1"/>
      <c r="Z111" s="1"/>
      <c r="AA111" s="1"/>
      <c r="AB111" s="1"/>
      <c r="AC111" s="1"/>
      <c r="AD111" s="1"/>
      <c r="AE111" s="1"/>
      <c r="AF111" s="1"/>
      <c r="AG111" s="1"/>
      <c r="AH111" s="1"/>
    </row>
    <row r="112" spans="1:34" s="8" customFormat="1" ht="38.25" customHeight="1" x14ac:dyDescent="0.25">
      <c r="A112" s="168"/>
      <c r="B112" s="169"/>
      <c r="C112" s="148" t="s">
        <v>92</v>
      </c>
      <c r="D112" s="148" t="s">
        <v>25</v>
      </c>
      <c r="E112" s="148" t="s">
        <v>26</v>
      </c>
      <c r="F112" s="148" t="s">
        <v>26</v>
      </c>
      <c r="G112" s="148" t="s">
        <v>26</v>
      </c>
      <c r="H112" s="148" t="s">
        <v>26</v>
      </c>
      <c r="I112" s="13">
        <f t="shared" si="52"/>
        <v>2841283.59</v>
      </c>
      <c r="J112" s="13">
        <v>0</v>
      </c>
      <c r="K112" s="24">
        <f>229000-33800-3100</f>
        <v>192100</v>
      </c>
      <c r="L112" s="24">
        <f>200000-68980.17</f>
        <v>131019.83</v>
      </c>
      <c r="M112" s="27">
        <f>300000+5484.56</f>
        <v>305484.56</v>
      </c>
      <c r="N112" s="27">
        <v>286501.02</v>
      </c>
      <c r="O112" s="27">
        <v>399205</v>
      </c>
      <c r="P112" s="15">
        <v>0</v>
      </c>
      <c r="Q112" s="15">
        <v>176605</v>
      </c>
      <c r="R112" s="15">
        <v>450368.18</v>
      </c>
      <c r="S112" s="15">
        <v>300000</v>
      </c>
      <c r="T112" s="19">
        <v>300000</v>
      </c>
      <c r="U112" s="19">
        <v>300000</v>
      </c>
      <c r="V112" s="1"/>
      <c r="W112" s="1"/>
      <c r="X112" s="1"/>
      <c r="Y112" s="1"/>
      <c r="Z112" s="1"/>
      <c r="AA112" s="1"/>
      <c r="AB112" s="1"/>
      <c r="AC112" s="1"/>
      <c r="AD112" s="1"/>
      <c r="AE112" s="1"/>
      <c r="AF112" s="1"/>
      <c r="AG112" s="1"/>
      <c r="AH112" s="1"/>
    </row>
    <row r="113" spans="1:34" s="62" customFormat="1" ht="51" customHeight="1" x14ac:dyDescent="0.25">
      <c r="A113" s="53">
        <v>39</v>
      </c>
      <c r="B113" s="143" t="s">
        <v>109</v>
      </c>
      <c r="C113" s="143"/>
      <c r="D113" s="143" t="s">
        <v>25</v>
      </c>
      <c r="E113" s="143" t="s">
        <v>26</v>
      </c>
      <c r="F113" s="143" t="s">
        <v>26</v>
      </c>
      <c r="G113" s="143" t="s">
        <v>26</v>
      </c>
      <c r="H113" s="143" t="s">
        <v>26</v>
      </c>
      <c r="I113" s="14">
        <f>SUM(J113:U113)</f>
        <v>10936468.82</v>
      </c>
      <c r="J113" s="14">
        <f t="shared" ref="J113:U113" si="53">J102</f>
        <v>505600</v>
      </c>
      <c r="K113" s="14">
        <f t="shared" si="53"/>
        <v>714169</v>
      </c>
      <c r="L113" s="14">
        <f t="shared" si="53"/>
        <v>597927.74</v>
      </c>
      <c r="M113" s="16">
        <f t="shared" si="53"/>
        <v>872530.56</v>
      </c>
      <c r="N113" s="16">
        <f t="shared" si="53"/>
        <v>977147.97</v>
      </c>
      <c r="O113" s="16">
        <f t="shared" si="53"/>
        <v>1231657.8500000001</v>
      </c>
      <c r="P113" s="16">
        <f t="shared" si="53"/>
        <v>114421.2</v>
      </c>
      <c r="Q113" s="16">
        <f t="shared" si="53"/>
        <v>655009.36</v>
      </c>
      <c r="R113" s="16">
        <f t="shared" si="53"/>
        <v>1308005.1399999999</v>
      </c>
      <c r="S113" s="16">
        <f t="shared" si="53"/>
        <v>1320000</v>
      </c>
      <c r="T113" s="17">
        <f t="shared" si="53"/>
        <v>1320000</v>
      </c>
      <c r="U113" s="16">
        <f t="shared" si="53"/>
        <v>1320000</v>
      </c>
      <c r="V113" s="1"/>
      <c r="W113" s="1"/>
      <c r="X113" s="1"/>
      <c r="Y113" s="1"/>
      <c r="Z113" s="1"/>
      <c r="AA113" s="1"/>
      <c r="AB113" s="1"/>
      <c r="AC113" s="1"/>
      <c r="AD113" s="1"/>
      <c r="AE113" s="1"/>
      <c r="AF113" s="1"/>
      <c r="AG113" s="1"/>
      <c r="AH113" s="1"/>
    </row>
    <row r="114" spans="1:34" s="62" customFormat="1" ht="42.75" customHeight="1" x14ac:dyDescent="0.25">
      <c r="A114" s="53">
        <v>40</v>
      </c>
      <c r="B114" s="143" t="s">
        <v>110</v>
      </c>
      <c r="C114" s="143"/>
      <c r="D114" s="143"/>
      <c r="E114" s="143" t="s">
        <v>26</v>
      </c>
      <c r="F114" s="143" t="s">
        <v>26</v>
      </c>
      <c r="G114" s="143" t="s">
        <v>26</v>
      </c>
      <c r="H114" s="143" t="s">
        <v>26</v>
      </c>
      <c r="I114" s="14">
        <f>SUM(J114:U114)</f>
        <v>6711610676.3800001</v>
      </c>
      <c r="J114" s="14">
        <f>J49+J50+J51</f>
        <v>379094629.33999997</v>
      </c>
      <c r="K114" s="14">
        <f t="shared" ref="K114:U114" si="54">K49+K50+K51</f>
        <v>430042865.21000004</v>
      </c>
      <c r="L114" s="14">
        <f t="shared" si="54"/>
        <v>461001041.55000001</v>
      </c>
      <c r="M114" s="14">
        <f t="shared" si="54"/>
        <v>553822733.95000005</v>
      </c>
      <c r="N114" s="14">
        <f t="shared" si="54"/>
        <v>528343340.45000005</v>
      </c>
      <c r="O114" s="14">
        <f t="shared" si="54"/>
        <v>545574972.07000005</v>
      </c>
      <c r="P114" s="14">
        <f t="shared" si="54"/>
        <v>475505843.31000006</v>
      </c>
      <c r="Q114" s="14">
        <f t="shared" si="54"/>
        <v>672530174.91999996</v>
      </c>
      <c r="R114" s="14">
        <f t="shared" si="54"/>
        <v>840919166.70000005</v>
      </c>
      <c r="S114" s="14">
        <f t="shared" si="54"/>
        <v>677827784.72000003</v>
      </c>
      <c r="T114" s="14">
        <f t="shared" si="54"/>
        <v>573438624.12</v>
      </c>
      <c r="U114" s="14">
        <f t="shared" si="54"/>
        <v>573509500.03999996</v>
      </c>
      <c r="V114" s="1"/>
      <c r="W114" s="1"/>
      <c r="X114" s="1"/>
      <c r="Y114" s="1"/>
      <c r="Z114" s="1"/>
      <c r="AA114" s="1"/>
      <c r="AB114" s="1"/>
      <c r="AC114" s="1"/>
      <c r="AD114" s="1"/>
      <c r="AE114" s="1"/>
      <c r="AF114" s="1"/>
      <c r="AG114" s="1"/>
      <c r="AH114" s="1"/>
    </row>
    <row r="115" spans="1:34" s="8" customFormat="1" ht="26.25" customHeight="1" x14ac:dyDescent="0.25">
      <c r="A115" s="53">
        <v>41</v>
      </c>
      <c r="B115" s="143" t="s">
        <v>41</v>
      </c>
      <c r="C115" s="148"/>
      <c r="D115" s="148"/>
      <c r="E115" s="148"/>
      <c r="F115" s="148"/>
      <c r="G115" s="148"/>
      <c r="H115" s="148"/>
      <c r="I115" s="13"/>
      <c r="J115" s="148"/>
      <c r="K115" s="148"/>
      <c r="L115" s="148"/>
      <c r="M115" s="21"/>
      <c r="N115" s="22"/>
      <c r="O115" s="15"/>
      <c r="P115" s="15"/>
      <c r="Q115" s="15"/>
      <c r="R115" s="15"/>
      <c r="S115" s="15"/>
      <c r="T115" s="46"/>
      <c r="U115" s="20"/>
      <c r="V115" s="1"/>
      <c r="W115" s="1"/>
      <c r="X115" s="1"/>
      <c r="Y115" s="1"/>
      <c r="Z115" s="1"/>
      <c r="AA115" s="1"/>
      <c r="AB115" s="1"/>
      <c r="AC115" s="1"/>
      <c r="AD115" s="1"/>
      <c r="AE115" s="1"/>
      <c r="AF115" s="1"/>
      <c r="AG115" s="1"/>
      <c r="AH115" s="1"/>
    </row>
    <row r="116" spans="1:34" s="62" customFormat="1" ht="47.25" customHeight="1" x14ac:dyDescent="0.25">
      <c r="A116" s="53">
        <v>42</v>
      </c>
      <c r="B116" s="143" t="s">
        <v>25</v>
      </c>
      <c r="C116" s="143"/>
      <c r="D116" s="143"/>
      <c r="E116" s="143" t="s">
        <v>26</v>
      </c>
      <c r="F116" s="143" t="s">
        <v>26</v>
      </c>
      <c r="G116" s="143" t="s">
        <v>26</v>
      </c>
      <c r="H116" s="143" t="s">
        <v>26</v>
      </c>
      <c r="I116" s="14">
        <f>SUM(J116:U116)</f>
        <v>5792083875.5799999</v>
      </c>
      <c r="J116" s="14">
        <f t="shared" ref="J116:U117" si="55">J49</f>
        <v>372889129.33999997</v>
      </c>
      <c r="K116" s="14">
        <f t="shared" si="55"/>
        <v>424396537.21000004</v>
      </c>
      <c r="L116" s="14">
        <f t="shared" si="55"/>
        <v>452889558.25</v>
      </c>
      <c r="M116" s="16">
        <f t="shared" si="55"/>
        <v>512472449.95000005</v>
      </c>
      <c r="N116" s="16">
        <f t="shared" si="55"/>
        <v>489229392.56000006</v>
      </c>
      <c r="O116" s="16">
        <f t="shared" si="55"/>
        <v>504396594.04000002</v>
      </c>
      <c r="P116" s="16">
        <f t="shared" si="55"/>
        <v>409330296.53000003</v>
      </c>
      <c r="Q116" s="16">
        <f t="shared" si="55"/>
        <v>559468420.42999995</v>
      </c>
      <c r="R116" s="16">
        <f t="shared" si="55"/>
        <v>613502888.38999999</v>
      </c>
      <c r="S116" s="16">
        <f t="shared" si="55"/>
        <v>501572884.72000003</v>
      </c>
      <c r="T116" s="17">
        <f t="shared" si="55"/>
        <v>475932424.12</v>
      </c>
      <c r="U116" s="16">
        <f t="shared" si="55"/>
        <v>476003300.04000002</v>
      </c>
      <c r="V116" s="1"/>
      <c r="W116" s="1"/>
      <c r="X116" s="1"/>
      <c r="Y116" s="1"/>
      <c r="Z116" s="1"/>
      <c r="AA116" s="1"/>
      <c r="AB116" s="1"/>
      <c r="AC116" s="1"/>
      <c r="AD116" s="1"/>
      <c r="AE116" s="1"/>
      <c r="AF116" s="1"/>
      <c r="AG116" s="1"/>
      <c r="AH116" s="1"/>
    </row>
    <row r="117" spans="1:34" s="62" customFormat="1" ht="39" customHeight="1" x14ac:dyDescent="0.25">
      <c r="A117" s="53">
        <v>43</v>
      </c>
      <c r="B117" s="143" t="s">
        <v>27</v>
      </c>
      <c r="C117" s="143"/>
      <c r="D117" s="143"/>
      <c r="E117" s="143" t="s">
        <v>26</v>
      </c>
      <c r="F117" s="143" t="s">
        <v>26</v>
      </c>
      <c r="G117" s="143" t="s">
        <v>26</v>
      </c>
      <c r="H117" s="143" t="s">
        <v>26</v>
      </c>
      <c r="I117" s="14">
        <f t="shared" ref="I117:I118" si="56">SUM(J117:U117)</f>
        <v>867524318.79999995</v>
      </c>
      <c r="J117" s="14">
        <f t="shared" si="55"/>
        <v>6205500</v>
      </c>
      <c r="K117" s="14">
        <f t="shared" si="55"/>
        <v>5646328</v>
      </c>
      <c r="L117" s="14">
        <f t="shared" si="55"/>
        <v>8111483.2999999998</v>
      </c>
      <c r="M117" s="16">
        <f t="shared" si="55"/>
        <v>41350284</v>
      </c>
      <c r="N117" s="16">
        <f t="shared" si="55"/>
        <v>38620065.890000001</v>
      </c>
      <c r="O117" s="16">
        <f t="shared" si="55"/>
        <v>41178378.030000001</v>
      </c>
      <c r="P117" s="16">
        <f t="shared" si="55"/>
        <v>66175546.780000001</v>
      </c>
      <c r="Q117" s="16">
        <f t="shared" si="55"/>
        <v>113061754.48999999</v>
      </c>
      <c r="R117" s="16">
        <f t="shared" si="55"/>
        <v>190457678.31</v>
      </c>
      <c r="S117" s="16">
        <f t="shared" si="55"/>
        <v>161704900</v>
      </c>
      <c r="T117" s="17">
        <f t="shared" si="55"/>
        <v>97506200</v>
      </c>
      <c r="U117" s="16">
        <f t="shared" si="55"/>
        <v>97506200</v>
      </c>
      <c r="V117" s="1"/>
      <c r="W117" s="1"/>
      <c r="X117" s="1"/>
      <c r="Y117" s="1"/>
      <c r="Z117" s="1"/>
      <c r="AA117" s="1"/>
      <c r="AB117" s="1"/>
      <c r="AC117" s="1"/>
      <c r="AD117" s="1"/>
      <c r="AE117" s="1"/>
      <c r="AF117" s="1"/>
      <c r="AG117" s="1"/>
      <c r="AH117" s="1"/>
    </row>
    <row r="118" spans="1:34" s="62" customFormat="1" ht="39" customHeight="1" x14ac:dyDescent="0.25">
      <c r="A118" s="63">
        <v>44</v>
      </c>
      <c r="B118" s="143" t="s">
        <v>28</v>
      </c>
      <c r="C118" s="143"/>
      <c r="D118" s="143"/>
      <c r="E118" s="143" t="s">
        <v>26</v>
      </c>
      <c r="F118" s="143" t="s">
        <v>26</v>
      </c>
      <c r="G118" s="143" t="s">
        <v>26</v>
      </c>
      <c r="H118" s="143" t="s">
        <v>26</v>
      </c>
      <c r="I118" s="14">
        <f t="shared" si="56"/>
        <v>52002482</v>
      </c>
      <c r="J118" s="14">
        <v>0</v>
      </c>
      <c r="K118" s="14">
        <v>0</v>
      </c>
      <c r="L118" s="14">
        <v>0</v>
      </c>
      <c r="M118" s="16">
        <v>0</v>
      </c>
      <c r="N118" s="16">
        <f t="shared" ref="N118:T118" si="57">N54</f>
        <v>493882</v>
      </c>
      <c r="O118" s="16">
        <f t="shared" si="57"/>
        <v>0</v>
      </c>
      <c r="P118" s="16">
        <f t="shared" si="57"/>
        <v>0</v>
      </c>
      <c r="Q118" s="16">
        <f t="shared" si="57"/>
        <v>0</v>
      </c>
      <c r="R118" s="16">
        <f t="shared" si="57"/>
        <v>36958600</v>
      </c>
      <c r="S118" s="16">
        <f t="shared" si="57"/>
        <v>14550000</v>
      </c>
      <c r="T118" s="17">
        <f t="shared" si="57"/>
        <v>0</v>
      </c>
      <c r="U118" s="20"/>
      <c r="V118" s="1"/>
      <c r="W118" s="1"/>
      <c r="X118" s="1"/>
      <c r="Y118" s="1"/>
      <c r="Z118" s="1"/>
      <c r="AA118" s="1"/>
      <c r="AB118" s="1"/>
      <c r="AC118" s="1"/>
      <c r="AD118" s="1"/>
      <c r="AE118" s="1"/>
      <c r="AF118" s="1"/>
      <c r="AG118" s="1"/>
      <c r="AH118" s="1"/>
    </row>
    <row r="119" spans="1:34" s="8" customFormat="1" ht="36.75" customHeight="1" x14ac:dyDescent="0.25">
      <c r="A119" s="182" t="s">
        <v>111</v>
      </c>
      <c r="B119" s="183"/>
      <c r="C119" s="183"/>
      <c r="D119" s="183"/>
      <c r="E119" s="183"/>
      <c r="F119" s="183"/>
      <c r="G119" s="183"/>
      <c r="H119" s="183"/>
      <c r="I119" s="183"/>
      <c r="J119" s="183"/>
      <c r="K119" s="183"/>
      <c r="L119" s="183"/>
      <c r="M119" s="183"/>
      <c r="N119" s="183"/>
      <c r="O119" s="183"/>
      <c r="P119" s="183"/>
      <c r="Q119" s="183"/>
      <c r="R119" s="184"/>
      <c r="S119" s="64"/>
      <c r="U119" s="20"/>
      <c r="V119" s="1"/>
      <c r="W119" s="1"/>
      <c r="X119" s="1"/>
      <c r="Y119" s="1"/>
      <c r="Z119" s="1"/>
      <c r="AA119" s="1"/>
      <c r="AB119" s="1"/>
      <c r="AC119" s="1"/>
      <c r="AD119" s="1"/>
      <c r="AE119" s="1"/>
      <c r="AF119" s="1"/>
      <c r="AG119" s="1"/>
      <c r="AH119" s="1"/>
    </row>
    <row r="120" spans="1:34" s="8" customFormat="1" ht="39" customHeight="1" x14ac:dyDescent="0.25">
      <c r="A120" s="168">
        <v>45</v>
      </c>
      <c r="B120" s="169" t="s">
        <v>112</v>
      </c>
      <c r="C120" s="170" t="s">
        <v>53</v>
      </c>
      <c r="D120" s="148" t="s">
        <v>28</v>
      </c>
      <c r="E120" s="148" t="s">
        <v>26</v>
      </c>
      <c r="F120" s="148" t="s">
        <v>26</v>
      </c>
      <c r="G120" s="148" t="s">
        <v>26</v>
      </c>
      <c r="H120" s="148" t="s">
        <v>26</v>
      </c>
      <c r="I120" s="13">
        <f t="shared" ref="I120:I138" si="58">SUM(J120:T120)</f>
        <v>100438120</v>
      </c>
      <c r="J120" s="13">
        <v>0</v>
      </c>
      <c r="K120" s="13">
        <f>K122</f>
        <v>100438120</v>
      </c>
      <c r="L120" s="13">
        <v>0</v>
      </c>
      <c r="M120" s="15">
        <v>0</v>
      </c>
      <c r="N120" s="15">
        <v>0</v>
      </c>
      <c r="O120" s="15">
        <v>0</v>
      </c>
      <c r="P120" s="15">
        <v>0</v>
      </c>
      <c r="Q120" s="15">
        <v>0</v>
      </c>
      <c r="R120" s="15">
        <v>0</v>
      </c>
      <c r="S120" s="15">
        <v>0</v>
      </c>
      <c r="T120" s="19">
        <v>0</v>
      </c>
      <c r="U120" s="19">
        <v>0</v>
      </c>
      <c r="V120" s="1"/>
      <c r="W120" s="1"/>
      <c r="X120" s="1"/>
      <c r="Y120" s="1"/>
      <c r="Z120" s="1"/>
      <c r="AA120" s="1"/>
      <c r="AB120" s="1"/>
      <c r="AC120" s="1"/>
      <c r="AD120" s="1"/>
      <c r="AE120" s="1"/>
      <c r="AF120" s="1"/>
      <c r="AG120" s="1"/>
      <c r="AH120" s="1"/>
    </row>
    <row r="121" spans="1:34" s="8" customFormat="1" ht="29.25" customHeight="1" x14ac:dyDescent="0.25">
      <c r="A121" s="168"/>
      <c r="B121" s="169"/>
      <c r="C121" s="170"/>
      <c r="D121" s="148" t="s">
        <v>27</v>
      </c>
      <c r="E121" s="148" t="s">
        <v>26</v>
      </c>
      <c r="F121" s="148" t="s">
        <v>26</v>
      </c>
      <c r="G121" s="148" t="s">
        <v>26</v>
      </c>
      <c r="H121" s="148" t="s">
        <v>26</v>
      </c>
      <c r="I121" s="13">
        <f t="shared" si="58"/>
        <v>39059268.890000001</v>
      </c>
      <c r="J121" s="13">
        <v>0</v>
      </c>
      <c r="K121" s="13">
        <f>K123</f>
        <v>39059268.890000001</v>
      </c>
      <c r="L121" s="13">
        <v>0</v>
      </c>
      <c r="M121" s="15">
        <v>0</v>
      </c>
      <c r="N121" s="15">
        <v>0</v>
      </c>
      <c r="O121" s="15">
        <v>0</v>
      </c>
      <c r="P121" s="15">
        <v>0</v>
      </c>
      <c r="Q121" s="15">
        <v>0</v>
      </c>
      <c r="R121" s="15">
        <v>0</v>
      </c>
      <c r="S121" s="15">
        <v>0</v>
      </c>
      <c r="T121" s="19">
        <v>0</v>
      </c>
      <c r="U121" s="19">
        <v>0</v>
      </c>
      <c r="V121" s="1"/>
      <c r="W121" s="1"/>
      <c r="X121" s="1"/>
      <c r="Y121" s="1"/>
      <c r="Z121" s="1"/>
      <c r="AA121" s="1"/>
      <c r="AB121" s="1"/>
      <c r="AC121" s="1"/>
      <c r="AD121" s="1"/>
      <c r="AE121" s="1"/>
      <c r="AF121" s="1"/>
      <c r="AG121" s="1"/>
      <c r="AH121" s="1"/>
    </row>
    <row r="122" spans="1:34" s="8" customFormat="1" ht="53.25" customHeight="1" x14ac:dyDescent="0.25">
      <c r="A122" s="168">
        <v>46</v>
      </c>
      <c r="B122" s="169" t="s">
        <v>113</v>
      </c>
      <c r="C122" s="170" t="s">
        <v>56</v>
      </c>
      <c r="D122" s="148" t="s">
        <v>28</v>
      </c>
      <c r="E122" s="148" t="s">
        <v>26</v>
      </c>
      <c r="F122" s="148" t="s">
        <v>26</v>
      </c>
      <c r="G122" s="148" t="s">
        <v>26</v>
      </c>
      <c r="H122" s="148" t="s">
        <v>26</v>
      </c>
      <c r="I122" s="13">
        <f t="shared" si="58"/>
        <v>100438120</v>
      </c>
      <c r="J122" s="13">
        <v>0</v>
      </c>
      <c r="K122" s="13">
        <f>K130</f>
        <v>100438120</v>
      </c>
      <c r="L122" s="13">
        <v>0</v>
      </c>
      <c r="M122" s="15">
        <v>0</v>
      </c>
      <c r="N122" s="15">
        <v>0</v>
      </c>
      <c r="O122" s="15">
        <v>0</v>
      </c>
      <c r="P122" s="15">
        <v>0</v>
      </c>
      <c r="Q122" s="15">
        <v>0</v>
      </c>
      <c r="R122" s="15">
        <v>0</v>
      </c>
      <c r="S122" s="15">
        <v>0</v>
      </c>
      <c r="T122" s="19">
        <v>0</v>
      </c>
      <c r="U122" s="19">
        <v>0</v>
      </c>
      <c r="V122" s="1"/>
      <c r="W122" s="1"/>
      <c r="X122" s="1"/>
      <c r="Y122" s="1"/>
      <c r="Z122" s="1"/>
      <c r="AA122" s="1"/>
      <c r="AB122" s="1"/>
      <c r="AC122" s="1"/>
      <c r="AD122" s="1"/>
      <c r="AE122" s="1"/>
      <c r="AF122" s="1"/>
      <c r="AG122" s="1"/>
      <c r="AH122" s="1"/>
    </row>
    <row r="123" spans="1:34" s="8" customFormat="1" ht="56.25" customHeight="1" x14ac:dyDescent="0.25">
      <c r="A123" s="168"/>
      <c r="B123" s="169"/>
      <c r="C123" s="170"/>
      <c r="D123" s="148" t="s">
        <v>27</v>
      </c>
      <c r="E123" s="148" t="s">
        <v>26</v>
      </c>
      <c r="F123" s="148" t="s">
        <v>26</v>
      </c>
      <c r="G123" s="148" t="s">
        <v>26</v>
      </c>
      <c r="H123" s="148" t="s">
        <v>26</v>
      </c>
      <c r="I123" s="13">
        <f t="shared" si="58"/>
        <v>39059268.890000001</v>
      </c>
      <c r="J123" s="13">
        <v>0</v>
      </c>
      <c r="K123" s="13">
        <f>K131</f>
        <v>39059268.890000001</v>
      </c>
      <c r="L123" s="13">
        <v>0</v>
      </c>
      <c r="M123" s="15">
        <v>0</v>
      </c>
      <c r="N123" s="15">
        <v>0</v>
      </c>
      <c r="O123" s="15">
        <v>0</v>
      </c>
      <c r="P123" s="15">
        <v>0</v>
      </c>
      <c r="Q123" s="15">
        <v>0</v>
      </c>
      <c r="R123" s="15">
        <v>0</v>
      </c>
      <c r="S123" s="15">
        <v>0</v>
      </c>
      <c r="T123" s="19">
        <v>0</v>
      </c>
      <c r="U123" s="19">
        <v>0</v>
      </c>
      <c r="V123" s="1"/>
      <c r="W123" s="1"/>
      <c r="X123" s="1"/>
      <c r="Y123" s="1"/>
      <c r="Z123" s="1"/>
      <c r="AA123" s="1"/>
      <c r="AB123" s="1"/>
      <c r="AC123" s="1"/>
      <c r="AD123" s="1"/>
      <c r="AE123" s="1"/>
      <c r="AF123" s="1"/>
      <c r="AG123" s="1"/>
      <c r="AH123" s="1"/>
    </row>
    <row r="124" spans="1:34" s="8" customFormat="1" ht="40.5" customHeight="1" x14ac:dyDescent="0.25">
      <c r="A124" s="168">
        <v>47</v>
      </c>
      <c r="B124" s="169" t="s">
        <v>114</v>
      </c>
      <c r="C124" s="170" t="s">
        <v>53</v>
      </c>
      <c r="D124" s="148" t="s">
        <v>28</v>
      </c>
      <c r="E124" s="148" t="s">
        <v>26</v>
      </c>
      <c r="F124" s="148" t="s">
        <v>26</v>
      </c>
      <c r="G124" s="148" t="s">
        <v>26</v>
      </c>
      <c r="H124" s="148" t="s">
        <v>26</v>
      </c>
      <c r="I124" s="13">
        <f t="shared" si="58"/>
        <v>66958745.460000001</v>
      </c>
      <c r="J124" s="13">
        <v>0</v>
      </c>
      <c r="K124" s="13">
        <f>66958745.46</f>
        <v>66958745.460000001</v>
      </c>
      <c r="L124" s="13">
        <v>0</v>
      </c>
      <c r="M124" s="15">
        <v>0</v>
      </c>
      <c r="N124" s="15">
        <v>0</v>
      </c>
      <c r="O124" s="15">
        <v>0</v>
      </c>
      <c r="P124" s="15">
        <v>0</v>
      </c>
      <c r="Q124" s="15">
        <v>0</v>
      </c>
      <c r="R124" s="15">
        <v>0</v>
      </c>
      <c r="S124" s="15">
        <v>0</v>
      </c>
      <c r="T124" s="19">
        <v>0</v>
      </c>
      <c r="U124" s="19">
        <v>0</v>
      </c>
      <c r="V124" s="1"/>
      <c r="W124" s="1"/>
      <c r="X124" s="1"/>
      <c r="Y124" s="1"/>
      <c r="Z124" s="1"/>
      <c r="AA124" s="1"/>
      <c r="AB124" s="1"/>
      <c r="AC124" s="1"/>
      <c r="AD124" s="1"/>
      <c r="AE124" s="1"/>
      <c r="AF124" s="1"/>
      <c r="AG124" s="1"/>
      <c r="AH124" s="1"/>
    </row>
    <row r="125" spans="1:34" s="8" customFormat="1" ht="33" customHeight="1" x14ac:dyDescent="0.25">
      <c r="A125" s="168"/>
      <c r="B125" s="169"/>
      <c r="C125" s="170"/>
      <c r="D125" s="148" t="s">
        <v>27</v>
      </c>
      <c r="E125" s="148" t="s">
        <v>26</v>
      </c>
      <c r="F125" s="148" t="s">
        <v>26</v>
      </c>
      <c r="G125" s="148" t="s">
        <v>26</v>
      </c>
      <c r="H125" s="148" t="s">
        <v>26</v>
      </c>
      <c r="I125" s="13">
        <f t="shared" si="58"/>
        <v>26039512.129999999</v>
      </c>
      <c r="J125" s="13">
        <v>0</v>
      </c>
      <c r="K125" s="13">
        <f>26039517.24-5.11</f>
        <v>26039512.129999999</v>
      </c>
      <c r="L125" s="13">
        <v>0</v>
      </c>
      <c r="M125" s="15">
        <v>0</v>
      </c>
      <c r="N125" s="15">
        <v>0</v>
      </c>
      <c r="O125" s="15">
        <v>0</v>
      </c>
      <c r="P125" s="15">
        <v>0</v>
      </c>
      <c r="Q125" s="15">
        <v>0</v>
      </c>
      <c r="R125" s="15">
        <v>0</v>
      </c>
      <c r="S125" s="15">
        <v>0</v>
      </c>
      <c r="T125" s="19">
        <v>0</v>
      </c>
      <c r="U125" s="19">
        <v>0</v>
      </c>
      <c r="V125" s="1"/>
      <c r="W125" s="1"/>
      <c r="X125" s="1"/>
      <c r="Y125" s="1"/>
      <c r="Z125" s="1"/>
      <c r="AA125" s="1"/>
      <c r="AB125" s="1"/>
      <c r="AC125" s="1"/>
      <c r="AD125" s="1"/>
      <c r="AE125" s="1"/>
      <c r="AF125" s="1"/>
      <c r="AG125" s="1"/>
      <c r="AH125" s="1"/>
    </row>
    <row r="126" spans="1:34" s="8" customFormat="1" ht="40.5" customHeight="1" x14ac:dyDescent="0.25">
      <c r="A126" s="168">
        <v>48</v>
      </c>
      <c r="B126" s="169" t="s">
        <v>115</v>
      </c>
      <c r="C126" s="170" t="s">
        <v>56</v>
      </c>
      <c r="D126" s="148" t="s">
        <v>28</v>
      </c>
      <c r="E126" s="148" t="s">
        <v>26</v>
      </c>
      <c r="F126" s="148" t="s">
        <v>26</v>
      </c>
      <c r="G126" s="148" t="s">
        <v>26</v>
      </c>
      <c r="H126" s="148" t="s">
        <v>26</v>
      </c>
      <c r="I126" s="13">
        <f t="shared" si="58"/>
        <v>33479374.539999999</v>
      </c>
      <c r="J126" s="13">
        <v>0</v>
      </c>
      <c r="K126" s="13">
        <v>33479374.539999999</v>
      </c>
      <c r="L126" s="13">
        <v>0</v>
      </c>
      <c r="M126" s="15">
        <v>0</v>
      </c>
      <c r="N126" s="15">
        <v>0</v>
      </c>
      <c r="O126" s="15">
        <v>0</v>
      </c>
      <c r="P126" s="15">
        <v>0</v>
      </c>
      <c r="Q126" s="15">
        <v>0</v>
      </c>
      <c r="R126" s="15">
        <v>0</v>
      </c>
      <c r="S126" s="15">
        <v>0</v>
      </c>
      <c r="T126" s="19">
        <v>0</v>
      </c>
      <c r="U126" s="19">
        <v>0</v>
      </c>
      <c r="V126" s="1"/>
      <c r="W126" s="1"/>
      <c r="X126" s="1"/>
      <c r="Y126" s="1"/>
      <c r="Z126" s="1"/>
      <c r="AA126" s="1"/>
      <c r="AB126" s="1"/>
      <c r="AC126" s="1"/>
      <c r="AD126" s="1"/>
      <c r="AE126" s="1"/>
      <c r="AF126" s="1"/>
      <c r="AG126" s="1"/>
      <c r="AH126" s="1"/>
    </row>
    <row r="127" spans="1:34" s="8" customFormat="1" ht="40.5" customHeight="1" x14ac:dyDescent="0.25">
      <c r="A127" s="168"/>
      <c r="B127" s="169"/>
      <c r="C127" s="170"/>
      <c r="D127" s="148" t="s">
        <v>27</v>
      </c>
      <c r="E127" s="148" t="s">
        <v>26</v>
      </c>
      <c r="F127" s="148" t="s">
        <v>26</v>
      </c>
      <c r="G127" s="148" t="s">
        <v>26</v>
      </c>
      <c r="H127" s="148" t="s">
        <v>26</v>
      </c>
      <c r="I127" s="13">
        <f t="shared" si="58"/>
        <v>13019756.76</v>
      </c>
      <c r="J127" s="13">
        <v>0</v>
      </c>
      <c r="K127" s="13">
        <v>13019756.76</v>
      </c>
      <c r="L127" s="13">
        <v>0</v>
      </c>
      <c r="M127" s="15">
        <v>0</v>
      </c>
      <c r="N127" s="15">
        <v>0</v>
      </c>
      <c r="O127" s="15">
        <v>0</v>
      </c>
      <c r="P127" s="15">
        <v>0</v>
      </c>
      <c r="Q127" s="15">
        <v>0</v>
      </c>
      <c r="R127" s="15">
        <v>0</v>
      </c>
      <c r="S127" s="15">
        <v>0</v>
      </c>
      <c r="T127" s="19">
        <v>0</v>
      </c>
      <c r="U127" s="19">
        <v>0</v>
      </c>
      <c r="V127" s="1"/>
      <c r="W127" s="1"/>
      <c r="X127" s="1"/>
      <c r="Y127" s="1"/>
      <c r="Z127" s="1"/>
      <c r="AA127" s="1"/>
      <c r="AB127" s="1"/>
      <c r="AC127" s="1"/>
      <c r="AD127" s="1"/>
      <c r="AE127" s="1"/>
      <c r="AF127" s="1"/>
      <c r="AG127" s="1"/>
      <c r="AH127" s="1"/>
    </row>
    <row r="128" spans="1:34" s="8" customFormat="1" ht="40.5" customHeight="1" x14ac:dyDescent="0.25">
      <c r="A128" s="168">
        <v>49</v>
      </c>
      <c r="B128" s="169" t="s">
        <v>116</v>
      </c>
      <c r="C128" s="170" t="s">
        <v>53</v>
      </c>
      <c r="D128" s="148" t="s">
        <v>28</v>
      </c>
      <c r="E128" s="148" t="s">
        <v>26</v>
      </c>
      <c r="F128" s="148" t="s">
        <v>26</v>
      </c>
      <c r="G128" s="148" t="s">
        <v>26</v>
      </c>
      <c r="H128" s="148" t="s">
        <v>26</v>
      </c>
      <c r="I128" s="13">
        <f t="shared" si="58"/>
        <v>0</v>
      </c>
      <c r="J128" s="13">
        <v>0</v>
      </c>
      <c r="K128" s="13">
        <v>0</v>
      </c>
      <c r="L128" s="13">
        <v>0</v>
      </c>
      <c r="M128" s="15">
        <v>0</v>
      </c>
      <c r="N128" s="15">
        <v>0</v>
      </c>
      <c r="O128" s="15">
        <v>0</v>
      </c>
      <c r="P128" s="15">
        <v>0</v>
      </c>
      <c r="Q128" s="15">
        <v>0</v>
      </c>
      <c r="R128" s="15">
        <v>0</v>
      </c>
      <c r="S128" s="15">
        <v>0</v>
      </c>
      <c r="T128" s="19">
        <v>0</v>
      </c>
      <c r="U128" s="19">
        <v>0</v>
      </c>
      <c r="V128" s="1"/>
      <c r="W128" s="1"/>
      <c r="X128" s="1"/>
      <c r="Y128" s="1"/>
      <c r="Z128" s="1"/>
      <c r="AA128" s="1"/>
      <c r="AB128" s="1"/>
      <c r="AC128" s="1"/>
      <c r="AD128" s="1"/>
      <c r="AE128" s="1"/>
      <c r="AF128" s="1"/>
      <c r="AG128" s="1"/>
      <c r="AH128" s="1"/>
    </row>
    <row r="129" spans="1:34" s="8" customFormat="1" ht="32.25" customHeight="1" x14ac:dyDescent="0.25">
      <c r="A129" s="168"/>
      <c r="B129" s="169"/>
      <c r="C129" s="170"/>
      <c r="D129" s="148" t="s">
        <v>27</v>
      </c>
      <c r="E129" s="148" t="s">
        <v>26</v>
      </c>
      <c r="F129" s="148" t="s">
        <v>26</v>
      </c>
      <c r="G129" s="148" t="s">
        <v>26</v>
      </c>
      <c r="H129" s="148" t="s">
        <v>26</v>
      </c>
      <c r="I129" s="13">
        <f t="shared" si="58"/>
        <v>0</v>
      </c>
      <c r="J129" s="13">
        <v>0</v>
      </c>
      <c r="K129" s="13">
        <v>0</v>
      </c>
      <c r="L129" s="13">
        <v>0</v>
      </c>
      <c r="M129" s="15">
        <v>0</v>
      </c>
      <c r="N129" s="15">
        <v>0</v>
      </c>
      <c r="O129" s="15">
        <v>0</v>
      </c>
      <c r="P129" s="15">
        <v>0</v>
      </c>
      <c r="Q129" s="15">
        <v>0</v>
      </c>
      <c r="R129" s="15">
        <v>0</v>
      </c>
      <c r="S129" s="15">
        <v>0</v>
      </c>
      <c r="T129" s="19">
        <v>0</v>
      </c>
      <c r="U129" s="19">
        <v>0</v>
      </c>
      <c r="V129" s="1"/>
      <c r="W129" s="1"/>
      <c r="X129" s="1"/>
      <c r="Y129" s="1"/>
      <c r="Z129" s="1"/>
      <c r="AA129" s="1"/>
      <c r="AB129" s="1"/>
      <c r="AC129" s="1"/>
      <c r="AD129" s="1"/>
      <c r="AE129" s="1"/>
      <c r="AF129" s="1"/>
      <c r="AG129" s="1"/>
      <c r="AH129" s="1"/>
    </row>
    <row r="130" spans="1:34" s="8" customFormat="1" ht="34.5" customHeight="1" x14ac:dyDescent="0.25">
      <c r="A130" s="168">
        <v>50</v>
      </c>
      <c r="B130" s="169" t="s">
        <v>117</v>
      </c>
      <c r="C130" s="170"/>
      <c r="D130" s="148" t="s">
        <v>28</v>
      </c>
      <c r="E130" s="148" t="s">
        <v>26</v>
      </c>
      <c r="F130" s="148" t="s">
        <v>26</v>
      </c>
      <c r="G130" s="148" t="s">
        <v>26</v>
      </c>
      <c r="H130" s="148" t="s">
        <v>26</v>
      </c>
      <c r="I130" s="13">
        <f t="shared" si="58"/>
        <v>100438120</v>
      </c>
      <c r="J130" s="13">
        <v>0</v>
      </c>
      <c r="K130" s="13">
        <f>SUM(K124+K126+K128)</f>
        <v>100438120</v>
      </c>
      <c r="L130" s="13">
        <v>0</v>
      </c>
      <c r="M130" s="15">
        <v>0</v>
      </c>
      <c r="N130" s="15">
        <v>0</v>
      </c>
      <c r="O130" s="15">
        <v>0</v>
      </c>
      <c r="P130" s="15">
        <v>0</v>
      </c>
      <c r="Q130" s="15">
        <v>0</v>
      </c>
      <c r="R130" s="15">
        <v>0</v>
      </c>
      <c r="S130" s="15">
        <v>0</v>
      </c>
      <c r="T130" s="19">
        <v>0</v>
      </c>
      <c r="U130" s="19">
        <v>0</v>
      </c>
      <c r="V130" s="1"/>
      <c r="W130" s="1"/>
      <c r="X130" s="1"/>
      <c r="Y130" s="1"/>
      <c r="Z130" s="1"/>
      <c r="AA130" s="1"/>
      <c r="AB130" s="1"/>
      <c r="AC130" s="1"/>
      <c r="AD130" s="1"/>
      <c r="AE130" s="1"/>
      <c r="AF130" s="1"/>
      <c r="AG130" s="1"/>
      <c r="AH130" s="1"/>
    </row>
    <row r="131" spans="1:34" s="8" customFormat="1" ht="30.75" customHeight="1" x14ac:dyDescent="0.25">
      <c r="A131" s="168"/>
      <c r="B131" s="169"/>
      <c r="C131" s="170"/>
      <c r="D131" s="148" t="s">
        <v>27</v>
      </c>
      <c r="E131" s="148" t="s">
        <v>26</v>
      </c>
      <c r="F131" s="148" t="s">
        <v>26</v>
      </c>
      <c r="G131" s="148" t="s">
        <v>26</v>
      </c>
      <c r="H131" s="148" t="s">
        <v>26</v>
      </c>
      <c r="I131" s="13">
        <f t="shared" si="58"/>
        <v>39059268.890000001</v>
      </c>
      <c r="J131" s="13">
        <v>0</v>
      </c>
      <c r="K131" s="13">
        <f>SUM(K125+K127+K129)</f>
        <v>39059268.890000001</v>
      </c>
      <c r="L131" s="13">
        <v>0</v>
      </c>
      <c r="M131" s="15">
        <v>0</v>
      </c>
      <c r="N131" s="15">
        <v>0</v>
      </c>
      <c r="O131" s="15">
        <v>0</v>
      </c>
      <c r="P131" s="15">
        <v>0</v>
      </c>
      <c r="Q131" s="15">
        <v>0</v>
      </c>
      <c r="R131" s="15">
        <v>0</v>
      </c>
      <c r="S131" s="15">
        <v>0</v>
      </c>
      <c r="T131" s="19">
        <v>0</v>
      </c>
      <c r="U131" s="19">
        <v>0</v>
      </c>
      <c r="V131" s="1"/>
      <c r="W131" s="1"/>
      <c r="X131" s="1"/>
      <c r="Y131" s="1"/>
      <c r="Z131" s="1"/>
      <c r="AA131" s="1"/>
      <c r="AB131" s="1"/>
      <c r="AC131" s="1"/>
      <c r="AD131" s="1"/>
      <c r="AE131" s="1"/>
      <c r="AF131" s="1"/>
      <c r="AG131" s="1"/>
      <c r="AH131" s="1"/>
    </row>
    <row r="132" spans="1:34" s="8" customFormat="1" ht="60" customHeight="1" x14ac:dyDescent="0.25">
      <c r="A132" s="168">
        <v>43</v>
      </c>
      <c r="B132" s="204" t="s">
        <v>118</v>
      </c>
      <c r="C132" s="170" t="s">
        <v>53</v>
      </c>
      <c r="D132" s="148" t="s">
        <v>28</v>
      </c>
      <c r="E132" s="148" t="s">
        <v>26</v>
      </c>
      <c r="F132" s="148" t="s">
        <v>26</v>
      </c>
      <c r="G132" s="148" t="s">
        <v>26</v>
      </c>
      <c r="H132" s="148" t="s">
        <v>26</v>
      </c>
      <c r="I132" s="13">
        <f t="shared" si="58"/>
        <v>0</v>
      </c>
      <c r="J132" s="13">
        <v>0</v>
      </c>
      <c r="K132" s="13">
        <v>0</v>
      </c>
      <c r="L132" s="13">
        <v>0</v>
      </c>
      <c r="M132" s="15">
        <v>0</v>
      </c>
      <c r="N132" s="15">
        <v>0</v>
      </c>
      <c r="O132" s="15">
        <v>0</v>
      </c>
      <c r="P132" s="15">
        <v>0</v>
      </c>
      <c r="Q132" s="15">
        <v>0</v>
      </c>
      <c r="R132" s="15">
        <v>0</v>
      </c>
      <c r="S132" s="15">
        <v>0</v>
      </c>
      <c r="T132" s="19">
        <v>0</v>
      </c>
      <c r="U132" s="19">
        <v>0</v>
      </c>
      <c r="V132" s="1"/>
      <c r="W132" s="1"/>
      <c r="X132" s="1"/>
      <c r="Y132" s="1"/>
      <c r="Z132" s="1"/>
      <c r="AA132" s="1"/>
      <c r="AB132" s="1"/>
      <c r="AC132" s="1"/>
      <c r="AD132" s="1"/>
      <c r="AE132" s="1"/>
      <c r="AF132" s="1"/>
      <c r="AG132" s="1"/>
      <c r="AH132" s="1"/>
    </row>
    <row r="133" spans="1:34" s="8" customFormat="1" ht="76.5" customHeight="1" x14ac:dyDescent="0.25">
      <c r="A133" s="168"/>
      <c r="B133" s="205"/>
      <c r="C133" s="170"/>
      <c r="D133" s="148" t="s">
        <v>27</v>
      </c>
      <c r="E133" s="148" t="s">
        <v>26</v>
      </c>
      <c r="F133" s="148" t="s">
        <v>26</v>
      </c>
      <c r="G133" s="148" t="s">
        <v>26</v>
      </c>
      <c r="H133" s="148" t="s">
        <v>26</v>
      </c>
      <c r="I133" s="13">
        <f t="shared" si="58"/>
        <v>0</v>
      </c>
      <c r="J133" s="13">
        <v>0</v>
      </c>
      <c r="K133" s="13">
        <v>0</v>
      </c>
      <c r="L133" s="13">
        <v>0</v>
      </c>
      <c r="M133" s="15">
        <v>0</v>
      </c>
      <c r="N133" s="15">
        <v>0</v>
      </c>
      <c r="O133" s="15">
        <v>0</v>
      </c>
      <c r="P133" s="15">
        <v>0</v>
      </c>
      <c r="Q133" s="15">
        <v>0</v>
      </c>
      <c r="R133" s="15">
        <v>0</v>
      </c>
      <c r="S133" s="15">
        <v>0</v>
      </c>
      <c r="T133" s="19">
        <v>0</v>
      </c>
      <c r="U133" s="19">
        <v>0</v>
      </c>
      <c r="V133" s="1"/>
      <c r="W133" s="1"/>
      <c r="X133" s="1"/>
      <c r="Y133" s="1"/>
      <c r="Z133" s="1"/>
      <c r="AA133" s="1"/>
      <c r="AB133" s="1"/>
      <c r="AC133" s="1"/>
      <c r="AD133" s="1"/>
      <c r="AE133" s="1"/>
      <c r="AF133" s="1"/>
      <c r="AG133" s="1"/>
      <c r="AH133" s="1"/>
    </row>
    <row r="134" spans="1:34" s="8" customFormat="1" ht="40.5" customHeight="1" x14ac:dyDescent="0.25">
      <c r="A134" s="168">
        <v>44</v>
      </c>
      <c r="B134" s="204" t="s">
        <v>119</v>
      </c>
      <c r="C134" s="170" t="s">
        <v>53</v>
      </c>
      <c r="D134" s="148" t="s">
        <v>28</v>
      </c>
      <c r="E134" s="148" t="s">
        <v>26</v>
      </c>
      <c r="F134" s="148" t="s">
        <v>26</v>
      </c>
      <c r="G134" s="148" t="s">
        <v>26</v>
      </c>
      <c r="H134" s="148" t="s">
        <v>26</v>
      </c>
      <c r="I134" s="13">
        <f t="shared" si="58"/>
        <v>0</v>
      </c>
      <c r="J134" s="13">
        <v>0</v>
      </c>
      <c r="K134" s="13">
        <v>0</v>
      </c>
      <c r="L134" s="13">
        <v>0</v>
      </c>
      <c r="M134" s="15">
        <v>0</v>
      </c>
      <c r="N134" s="15">
        <v>0</v>
      </c>
      <c r="O134" s="15">
        <v>0</v>
      </c>
      <c r="P134" s="15">
        <v>0</v>
      </c>
      <c r="Q134" s="15">
        <v>0</v>
      </c>
      <c r="R134" s="15">
        <v>0</v>
      </c>
      <c r="S134" s="15">
        <v>0</v>
      </c>
      <c r="T134" s="19">
        <v>0</v>
      </c>
      <c r="U134" s="19">
        <v>0</v>
      </c>
      <c r="V134" s="1"/>
      <c r="W134" s="1"/>
      <c r="X134" s="1"/>
      <c r="Y134" s="1"/>
      <c r="Z134" s="1"/>
      <c r="AA134" s="1"/>
      <c r="AB134" s="1"/>
      <c r="AC134" s="1"/>
      <c r="AD134" s="1"/>
      <c r="AE134" s="1"/>
      <c r="AF134" s="1"/>
      <c r="AG134" s="1"/>
      <c r="AH134" s="1"/>
    </row>
    <row r="135" spans="1:34" s="8" customFormat="1" ht="72.75" customHeight="1" x14ac:dyDescent="0.25">
      <c r="A135" s="168"/>
      <c r="B135" s="205"/>
      <c r="C135" s="170"/>
      <c r="D135" s="148" t="s">
        <v>27</v>
      </c>
      <c r="E135" s="148" t="s">
        <v>26</v>
      </c>
      <c r="F135" s="148" t="s">
        <v>26</v>
      </c>
      <c r="G135" s="148" t="s">
        <v>26</v>
      </c>
      <c r="H135" s="148" t="s">
        <v>26</v>
      </c>
      <c r="I135" s="13">
        <f t="shared" si="58"/>
        <v>0</v>
      </c>
      <c r="J135" s="13">
        <v>0</v>
      </c>
      <c r="K135" s="13">
        <v>0</v>
      </c>
      <c r="L135" s="13">
        <v>0</v>
      </c>
      <c r="M135" s="15">
        <v>0</v>
      </c>
      <c r="N135" s="15">
        <v>0</v>
      </c>
      <c r="O135" s="15">
        <v>0</v>
      </c>
      <c r="P135" s="15">
        <v>0</v>
      </c>
      <c r="Q135" s="15">
        <v>0</v>
      </c>
      <c r="R135" s="15">
        <v>0</v>
      </c>
      <c r="S135" s="15">
        <v>0</v>
      </c>
      <c r="T135" s="19">
        <v>0</v>
      </c>
      <c r="U135" s="19">
        <v>0</v>
      </c>
      <c r="V135" s="1"/>
      <c r="W135" s="1"/>
      <c r="X135" s="1"/>
      <c r="Y135" s="1"/>
      <c r="Z135" s="1"/>
      <c r="AA135" s="1"/>
      <c r="AB135" s="1"/>
      <c r="AC135" s="1"/>
      <c r="AD135" s="1"/>
      <c r="AE135" s="1"/>
      <c r="AF135" s="1"/>
      <c r="AG135" s="1"/>
      <c r="AH135" s="1"/>
    </row>
    <row r="136" spans="1:34" s="8" customFormat="1" ht="48.75" customHeight="1" x14ac:dyDescent="0.25">
      <c r="A136" s="168">
        <v>45</v>
      </c>
      <c r="B136" s="169" t="s">
        <v>120</v>
      </c>
      <c r="C136" s="170"/>
      <c r="D136" s="148" t="s">
        <v>28</v>
      </c>
      <c r="E136" s="148" t="s">
        <v>26</v>
      </c>
      <c r="F136" s="148" t="s">
        <v>26</v>
      </c>
      <c r="G136" s="148" t="s">
        <v>26</v>
      </c>
      <c r="H136" s="148" t="s">
        <v>26</v>
      </c>
      <c r="I136" s="13">
        <f t="shared" si="58"/>
        <v>0</v>
      </c>
      <c r="J136" s="13">
        <v>0</v>
      </c>
      <c r="K136" s="13">
        <v>0</v>
      </c>
      <c r="L136" s="13">
        <v>0</v>
      </c>
      <c r="M136" s="15">
        <v>0</v>
      </c>
      <c r="N136" s="15">
        <v>0</v>
      </c>
      <c r="O136" s="15">
        <v>0</v>
      </c>
      <c r="P136" s="15">
        <v>0</v>
      </c>
      <c r="Q136" s="15">
        <v>0</v>
      </c>
      <c r="R136" s="15">
        <v>0</v>
      </c>
      <c r="S136" s="15">
        <v>0</v>
      </c>
      <c r="T136" s="19">
        <v>0</v>
      </c>
      <c r="U136" s="19">
        <v>0</v>
      </c>
      <c r="V136" s="1"/>
      <c r="W136" s="5">
        <f>113061754.49+550769153.65-2733903.55</f>
        <v>661097004.59000003</v>
      </c>
      <c r="X136" s="1"/>
      <c r="Y136" s="1"/>
      <c r="Z136" s="1"/>
      <c r="AA136" s="1"/>
      <c r="AB136" s="1"/>
      <c r="AC136" s="1"/>
      <c r="AD136" s="1"/>
      <c r="AE136" s="1"/>
      <c r="AF136" s="1"/>
      <c r="AG136" s="1"/>
      <c r="AH136" s="1"/>
    </row>
    <row r="137" spans="1:34" s="8" customFormat="1" ht="47.25" customHeight="1" x14ac:dyDescent="0.25">
      <c r="A137" s="168"/>
      <c r="B137" s="169"/>
      <c r="C137" s="170"/>
      <c r="D137" s="148" t="s">
        <v>27</v>
      </c>
      <c r="E137" s="148" t="s">
        <v>26</v>
      </c>
      <c r="F137" s="148" t="s">
        <v>26</v>
      </c>
      <c r="G137" s="148" t="s">
        <v>26</v>
      </c>
      <c r="H137" s="148" t="s">
        <v>26</v>
      </c>
      <c r="I137" s="13">
        <f t="shared" si="58"/>
        <v>0</v>
      </c>
      <c r="J137" s="13">
        <v>0</v>
      </c>
      <c r="K137" s="13">
        <v>0</v>
      </c>
      <c r="L137" s="13">
        <v>0</v>
      </c>
      <c r="M137" s="15">
        <v>0</v>
      </c>
      <c r="N137" s="15">
        <v>0</v>
      </c>
      <c r="O137" s="15">
        <v>0</v>
      </c>
      <c r="P137" s="15">
        <v>0</v>
      </c>
      <c r="Q137" s="15">
        <v>0</v>
      </c>
      <c r="R137" s="15">
        <v>0</v>
      </c>
      <c r="S137" s="15">
        <v>0</v>
      </c>
      <c r="T137" s="19">
        <v>0</v>
      </c>
      <c r="U137" s="19">
        <v>0</v>
      </c>
      <c r="V137" s="1"/>
      <c r="W137" s="1"/>
      <c r="X137" s="1"/>
      <c r="Y137" s="1"/>
      <c r="Z137" s="1"/>
      <c r="AA137" s="1"/>
      <c r="AB137" s="1"/>
      <c r="AC137" s="1"/>
      <c r="AD137" s="1"/>
      <c r="AE137" s="1"/>
      <c r="AF137" s="1"/>
      <c r="AG137" s="1"/>
      <c r="AH137" s="1"/>
    </row>
    <row r="138" spans="1:34" s="8" customFormat="1" ht="34.5" customHeight="1" x14ac:dyDescent="0.25">
      <c r="A138" s="9">
        <v>51</v>
      </c>
      <c r="B138" s="143" t="s">
        <v>110</v>
      </c>
      <c r="C138" s="148"/>
      <c r="D138" s="148"/>
      <c r="E138" s="148" t="s">
        <v>26</v>
      </c>
      <c r="F138" s="148" t="s">
        <v>26</v>
      </c>
      <c r="G138" s="148" t="s">
        <v>26</v>
      </c>
      <c r="H138" s="148" t="s">
        <v>26</v>
      </c>
      <c r="I138" s="13">
        <f t="shared" si="58"/>
        <v>139497388.88999999</v>
      </c>
      <c r="J138" s="13">
        <v>0</v>
      </c>
      <c r="K138" s="13">
        <f>SUM(K130:K131)</f>
        <v>139497388.88999999</v>
      </c>
      <c r="L138" s="13">
        <v>0</v>
      </c>
      <c r="M138" s="65">
        <v>0</v>
      </c>
      <c r="N138" s="15">
        <v>0</v>
      </c>
      <c r="O138" s="15">
        <v>0</v>
      </c>
      <c r="P138" s="15">
        <v>0</v>
      </c>
      <c r="Q138" s="15">
        <v>0</v>
      </c>
      <c r="R138" s="15">
        <v>0</v>
      </c>
      <c r="S138" s="15">
        <v>0</v>
      </c>
      <c r="T138" s="19">
        <v>0</v>
      </c>
      <c r="U138" s="19">
        <v>0</v>
      </c>
      <c r="V138" s="1"/>
      <c r="W138" s="1"/>
      <c r="X138" s="1"/>
      <c r="Y138" s="1"/>
      <c r="Z138" s="1"/>
      <c r="AA138" s="1"/>
      <c r="AB138" s="1"/>
      <c r="AC138" s="1"/>
      <c r="AD138" s="1"/>
      <c r="AE138" s="1"/>
      <c r="AF138" s="1"/>
      <c r="AG138" s="1"/>
      <c r="AH138" s="1"/>
    </row>
    <row r="139" spans="1:34" s="8" customFormat="1" ht="27.75" customHeight="1" x14ac:dyDescent="0.25">
      <c r="A139" s="9">
        <v>52</v>
      </c>
      <c r="B139" s="143" t="s">
        <v>41</v>
      </c>
      <c r="C139" s="148"/>
      <c r="D139" s="148" t="s">
        <v>121</v>
      </c>
      <c r="E139" s="148"/>
      <c r="F139" s="148"/>
      <c r="G139" s="148"/>
      <c r="H139" s="148"/>
      <c r="I139" s="13"/>
      <c r="J139" s="13"/>
      <c r="K139" s="13"/>
      <c r="L139" s="13"/>
      <c r="M139" s="15"/>
      <c r="N139" s="15"/>
      <c r="O139" s="15"/>
      <c r="P139" s="15"/>
      <c r="Q139" s="15"/>
      <c r="R139" s="15"/>
      <c r="S139" s="39"/>
      <c r="T139" s="47"/>
      <c r="U139" s="47"/>
      <c r="V139" s="1"/>
      <c r="W139" s="1"/>
      <c r="X139" s="1"/>
      <c r="Y139" s="1"/>
      <c r="Z139" s="1"/>
      <c r="AA139" s="1"/>
      <c r="AB139" s="1"/>
      <c r="AC139" s="1"/>
      <c r="AD139" s="1"/>
      <c r="AE139" s="1"/>
      <c r="AF139" s="1"/>
      <c r="AG139" s="1"/>
      <c r="AH139" s="1"/>
    </row>
    <row r="140" spans="1:34" s="8" customFormat="1" ht="36" customHeight="1" x14ac:dyDescent="0.25">
      <c r="A140" s="9">
        <v>53</v>
      </c>
      <c r="B140" s="143" t="s">
        <v>28</v>
      </c>
      <c r="C140" s="148"/>
      <c r="D140" s="148"/>
      <c r="E140" s="148" t="s">
        <v>26</v>
      </c>
      <c r="F140" s="148" t="s">
        <v>26</v>
      </c>
      <c r="G140" s="148" t="s">
        <v>26</v>
      </c>
      <c r="H140" s="148" t="s">
        <v>26</v>
      </c>
      <c r="I140" s="13">
        <f>SUM(J140:T140)</f>
        <v>100438120</v>
      </c>
      <c r="J140" s="13">
        <v>0</v>
      </c>
      <c r="K140" s="13">
        <f>SUM(K130)</f>
        <v>100438120</v>
      </c>
      <c r="L140" s="13">
        <v>0</v>
      </c>
      <c r="M140" s="15">
        <v>0</v>
      </c>
      <c r="N140" s="15">
        <v>0</v>
      </c>
      <c r="O140" s="15">
        <v>0</v>
      </c>
      <c r="P140" s="15">
        <v>0</v>
      </c>
      <c r="Q140" s="15">
        <v>0</v>
      </c>
      <c r="R140" s="15">
        <v>0</v>
      </c>
      <c r="S140" s="15">
        <v>0</v>
      </c>
      <c r="T140" s="19">
        <v>0</v>
      </c>
      <c r="U140" s="19">
        <v>0</v>
      </c>
      <c r="V140" s="1"/>
      <c r="W140" s="1"/>
      <c r="X140" s="1"/>
      <c r="Y140" s="1"/>
      <c r="Z140" s="1"/>
      <c r="AA140" s="1"/>
      <c r="AB140" s="1"/>
      <c r="AC140" s="1"/>
      <c r="AD140" s="1"/>
      <c r="AE140" s="1"/>
      <c r="AF140" s="1"/>
      <c r="AG140" s="1"/>
      <c r="AH140" s="1"/>
    </row>
    <row r="141" spans="1:34" s="8" customFormat="1" ht="36" customHeight="1" x14ac:dyDescent="0.25">
      <c r="A141" s="9">
        <v>54</v>
      </c>
      <c r="B141" s="143" t="s">
        <v>27</v>
      </c>
      <c r="C141" s="148"/>
      <c r="D141" s="148"/>
      <c r="E141" s="148" t="s">
        <v>26</v>
      </c>
      <c r="F141" s="148" t="s">
        <v>26</v>
      </c>
      <c r="G141" s="148" t="s">
        <v>26</v>
      </c>
      <c r="H141" s="148" t="s">
        <v>26</v>
      </c>
      <c r="I141" s="13">
        <f>SUM(J141:T141)</f>
        <v>39059268.890000001</v>
      </c>
      <c r="J141" s="13">
        <v>0</v>
      </c>
      <c r="K141" s="18">
        <f>K131</f>
        <v>39059268.890000001</v>
      </c>
      <c r="L141" s="13">
        <v>0</v>
      </c>
      <c r="M141" s="15">
        <v>0</v>
      </c>
      <c r="N141" s="15">
        <v>0</v>
      </c>
      <c r="O141" s="15">
        <v>0</v>
      </c>
      <c r="P141" s="15">
        <v>0</v>
      </c>
      <c r="Q141" s="15">
        <v>0</v>
      </c>
      <c r="R141" s="15">
        <v>0</v>
      </c>
      <c r="S141" s="15">
        <v>0</v>
      </c>
      <c r="T141" s="19">
        <v>0</v>
      </c>
      <c r="U141" s="19">
        <v>0</v>
      </c>
      <c r="V141" s="1"/>
      <c r="W141" s="1"/>
      <c r="X141" s="1"/>
      <c r="Y141" s="1"/>
      <c r="Z141" s="1"/>
      <c r="AA141" s="1"/>
      <c r="AB141" s="1"/>
      <c r="AC141" s="1"/>
      <c r="AD141" s="1"/>
      <c r="AE141" s="1"/>
      <c r="AF141" s="1"/>
      <c r="AG141" s="1"/>
      <c r="AH141" s="1"/>
    </row>
    <row r="142" spans="1:34" s="66" customFormat="1" ht="39.75" customHeight="1" x14ac:dyDescent="0.25">
      <c r="A142" s="9">
        <v>55</v>
      </c>
      <c r="B142" s="143" t="s">
        <v>122</v>
      </c>
      <c r="C142" s="143"/>
      <c r="D142" s="143"/>
      <c r="E142" s="143" t="s">
        <v>26</v>
      </c>
      <c r="F142" s="143" t="s">
        <v>26</v>
      </c>
      <c r="G142" s="143" t="s">
        <v>26</v>
      </c>
      <c r="H142" s="143" t="s">
        <v>26</v>
      </c>
      <c r="I142" s="14">
        <f>SUM(J142:U142)</f>
        <v>8016394261.3400011</v>
      </c>
      <c r="J142" s="14">
        <f>J12+J21+J30+J31</f>
        <v>390711350.44</v>
      </c>
      <c r="K142" s="59">
        <f>K144+K145+K146</f>
        <v>584295408.25</v>
      </c>
      <c r="L142" s="14">
        <f>L144+L145</f>
        <v>486748809.75000006</v>
      </c>
      <c r="M142" s="16">
        <f t="shared" ref="M142:U142" si="59">M145+M144+M146</f>
        <v>1046123196.23</v>
      </c>
      <c r="N142" s="16">
        <f t="shared" si="59"/>
        <v>918456354.80000007</v>
      </c>
      <c r="O142" s="16">
        <f t="shared" si="59"/>
        <v>581616442.1400001</v>
      </c>
      <c r="P142" s="16">
        <f t="shared" si="59"/>
        <v>513497022.16000003</v>
      </c>
      <c r="Q142" s="16">
        <f t="shared" si="59"/>
        <v>704825213.05000007</v>
      </c>
      <c r="R142" s="16">
        <f t="shared" si="59"/>
        <v>875507818.70999992</v>
      </c>
      <c r="S142" s="16">
        <f t="shared" si="59"/>
        <v>708051385.02999997</v>
      </c>
      <c r="T142" s="16">
        <f t="shared" si="59"/>
        <v>603245192.43000007</v>
      </c>
      <c r="U142" s="16">
        <f t="shared" si="59"/>
        <v>603316068.35000002</v>
      </c>
      <c r="V142" s="1"/>
      <c r="W142" s="1"/>
      <c r="X142" s="1"/>
      <c r="Y142" s="1"/>
      <c r="Z142" s="1"/>
      <c r="AA142" s="1"/>
      <c r="AB142" s="1"/>
      <c r="AC142" s="1"/>
      <c r="AD142" s="1"/>
      <c r="AE142" s="1"/>
      <c r="AF142" s="1"/>
      <c r="AG142" s="1"/>
      <c r="AH142" s="1"/>
    </row>
    <row r="143" spans="1:34" s="66" customFormat="1" ht="23.25" customHeight="1" x14ac:dyDescent="0.25">
      <c r="A143" s="9">
        <v>56</v>
      </c>
      <c r="B143" s="143" t="s">
        <v>41</v>
      </c>
      <c r="C143" s="143"/>
      <c r="D143" s="143"/>
      <c r="E143" s="143"/>
      <c r="F143" s="143"/>
      <c r="G143" s="143"/>
      <c r="H143" s="143"/>
      <c r="I143" s="14"/>
      <c r="J143" s="14"/>
      <c r="K143" s="14"/>
      <c r="L143" s="14"/>
      <c r="M143" s="16"/>
      <c r="N143" s="67"/>
      <c r="O143" s="16"/>
      <c r="P143" s="16"/>
      <c r="Q143" s="16"/>
      <c r="R143" s="16"/>
      <c r="S143" s="16"/>
      <c r="T143" s="68"/>
      <c r="U143" s="68"/>
      <c r="V143" s="1"/>
      <c r="W143" s="1"/>
      <c r="X143" s="1"/>
      <c r="Y143" s="1"/>
      <c r="Z143" s="1"/>
      <c r="AA143" s="1"/>
      <c r="AB143" s="1"/>
      <c r="AC143" s="1"/>
      <c r="AD143" s="1"/>
      <c r="AE143" s="1"/>
      <c r="AF143" s="1"/>
      <c r="AG143" s="1"/>
      <c r="AH143" s="1"/>
    </row>
    <row r="144" spans="1:34" s="66" customFormat="1" ht="37.5" customHeight="1" x14ac:dyDescent="0.25">
      <c r="A144" s="9">
        <v>57</v>
      </c>
      <c r="B144" s="143" t="s">
        <v>25</v>
      </c>
      <c r="C144" s="143"/>
      <c r="D144" s="143"/>
      <c r="E144" s="143"/>
      <c r="F144" s="143"/>
      <c r="G144" s="143"/>
      <c r="H144" s="143"/>
      <c r="I144" s="14">
        <f>SUM(J144:U144)</f>
        <v>6501208394.5100012</v>
      </c>
      <c r="J144" s="16">
        <f>J14+J22+J28+J38+J40+J94+J43+J55+J56+J62+J63+J64+J83+J84+J85+J86+J88+J89+J95+J102</f>
        <v>384505850.43999994</v>
      </c>
      <c r="K144" s="16">
        <f>K14+K22+K28+K38+K40+K94+K43+K55+K56+K62+K63+K64+K83+K84+K85+K86+K88+K89+K95+K102</f>
        <v>439151691.36000007</v>
      </c>
      <c r="L144" s="16">
        <f>L14+L22+L28+L38+L40+L94+L43+L55+L56+L62+L63+L64+L83+L84+L85+L86+L88+L89+L95+L102</f>
        <v>478637326.45000005</v>
      </c>
      <c r="M144" s="16">
        <f>M14+M22+M28+M38+M40+M43+M55+M56+M62+M63+M64+M83+M84+M85+M86+M88+M89+M95+M102</f>
        <v>551321512.23000002</v>
      </c>
      <c r="N144" s="16">
        <f>N14+N22+N28+N38+N40+N43+N55+N56+N62+N63+N64+N83+N84+N85+N86+N88+N89+N95+N102</f>
        <v>878942406.91000009</v>
      </c>
      <c r="O144" s="16">
        <f t="shared" ref="O144:Q144" si="60">O14+O22+O28+O36+O38+O40+O43+O55+O56+O62+O63+O64+O83+O84+O85+O86+O88+O89+O95+O102</f>
        <v>540108064.11000013</v>
      </c>
      <c r="P144" s="16">
        <f t="shared" si="60"/>
        <v>447307547.72000003</v>
      </c>
      <c r="Q144" s="16">
        <f t="shared" si="60"/>
        <v>591471258.56000006</v>
      </c>
      <c r="R144" s="16">
        <f>R9</f>
        <v>646867390.91999996</v>
      </c>
      <c r="S144" s="16">
        <f t="shared" ref="S144:U144" si="61">S9</f>
        <v>531346485.03000003</v>
      </c>
      <c r="T144" s="16">
        <f t="shared" si="61"/>
        <v>505738992.43000001</v>
      </c>
      <c r="U144" s="16">
        <f t="shared" si="61"/>
        <v>505809868.35000002</v>
      </c>
      <c r="V144" s="1"/>
      <c r="W144" s="1"/>
      <c r="X144" s="1"/>
      <c r="Y144" s="1"/>
      <c r="Z144" s="1"/>
      <c r="AA144" s="1"/>
      <c r="AB144" s="1"/>
      <c r="AC144" s="1"/>
      <c r="AD144" s="1"/>
      <c r="AE144" s="1"/>
      <c r="AF144" s="1"/>
      <c r="AG144" s="1"/>
      <c r="AH144" s="1"/>
    </row>
    <row r="145" spans="1:34" s="66" customFormat="1" ht="37.5" customHeight="1" x14ac:dyDescent="0.25">
      <c r="A145" s="9">
        <v>58</v>
      </c>
      <c r="B145" s="143" t="s">
        <v>27</v>
      </c>
      <c r="C145" s="143"/>
      <c r="D145" s="143"/>
      <c r="E145" s="143"/>
      <c r="F145" s="143"/>
      <c r="G145" s="143"/>
      <c r="H145" s="143"/>
      <c r="I145" s="14">
        <f t="shared" ref="I145:I146" si="62">SUM(J145:U145)</f>
        <v>1362745264.8299999</v>
      </c>
      <c r="J145" s="16">
        <f t="shared" ref="J145:Q145" si="63">J13+J65+J81+J121+J39+J82+J80</f>
        <v>6205500</v>
      </c>
      <c r="K145" s="16">
        <f t="shared" si="63"/>
        <v>44705596.890000001</v>
      </c>
      <c r="L145" s="16">
        <f t="shared" si="63"/>
        <v>8111483.2999999998</v>
      </c>
      <c r="M145" s="16">
        <f t="shared" si="63"/>
        <v>494801684</v>
      </c>
      <c r="N145" s="16">
        <f t="shared" si="63"/>
        <v>39020065.890000001</v>
      </c>
      <c r="O145" s="16">
        <f t="shared" si="63"/>
        <v>41508378.030000001</v>
      </c>
      <c r="P145" s="16">
        <f t="shared" si="63"/>
        <v>66189474.439999998</v>
      </c>
      <c r="Q145" s="16">
        <f t="shared" si="63"/>
        <v>113353954.48999999</v>
      </c>
      <c r="R145" s="16">
        <f t="shared" ref="R145:U146" si="64">R10</f>
        <v>191681827.78999999</v>
      </c>
      <c r="S145" s="16">
        <f t="shared" si="64"/>
        <v>162154900</v>
      </c>
      <c r="T145" s="16">
        <f t="shared" si="64"/>
        <v>97506200</v>
      </c>
      <c r="U145" s="16">
        <f t="shared" si="64"/>
        <v>97506200</v>
      </c>
      <c r="V145" s="1"/>
      <c r="W145" s="1"/>
      <c r="X145" s="1"/>
      <c r="Y145" s="1"/>
      <c r="Z145" s="1"/>
      <c r="AA145" s="1"/>
      <c r="AB145" s="1"/>
      <c r="AC145" s="1"/>
      <c r="AD145" s="1"/>
      <c r="AE145" s="1"/>
      <c r="AF145" s="1"/>
      <c r="AG145" s="1"/>
      <c r="AH145" s="1"/>
    </row>
    <row r="146" spans="1:34" s="66" customFormat="1" ht="37.5" customHeight="1" x14ac:dyDescent="0.25">
      <c r="A146" s="9">
        <v>59</v>
      </c>
      <c r="B146" s="157" t="s">
        <v>28</v>
      </c>
      <c r="C146" s="157"/>
      <c r="D146" s="157"/>
      <c r="E146" s="157"/>
      <c r="F146" s="157"/>
      <c r="G146" s="157"/>
      <c r="H146" s="157"/>
      <c r="I146" s="14">
        <f t="shared" si="62"/>
        <v>152440602</v>
      </c>
      <c r="J146" s="59">
        <v>0</v>
      </c>
      <c r="K146" s="59">
        <f>K140</f>
        <v>100438120</v>
      </c>
      <c r="L146" s="59">
        <v>0</v>
      </c>
      <c r="M146" s="16">
        <v>0</v>
      </c>
      <c r="N146" s="16">
        <f>N66</f>
        <v>493882</v>
      </c>
      <c r="O146" s="16">
        <v>0</v>
      </c>
      <c r="P146" s="16">
        <v>0</v>
      </c>
      <c r="Q146" s="16">
        <v>0</v>
      </c>
      <c r="R146" s="16">
        <f t="shared" si="64"/>
        <v>36958600</v>
      </c>
      <c r="S146" s="16">
        <f t="shared" si="64"/>
        <v>14550000</v>
      </c>
      <c r="T146" s="16">
        <f t="shared" si="64"/>
        <v>0</v>
      </c>
      <c r="U146" s="16">
        <f t="shared" si="64"/>
        <v>0</v>
      </c>
      <c r="V146" s="1"/>
      <c r="W146" s="1"/>
      <c r="X146" s="1"/>
      <c r="Y146" s="1"/>
      <c r="Z146" s="1"/>
      <c r="AA146" s="1"/>
      <c r="AB146" s="1"/>
      <c r="AC146" s="1"/>
      <c r="AD146" s="1"/>
      <c r="AE146" s="1"/>
      <c r="AF146" s="1"/>
      <c r="AG146" s="1"/>
      <c r="AH146" s="1"/>
    </row>
    <row r="147" spans="1:34" ht="15.75" customHeight="1" x14ac:dyDescent="0.25">
      <c r="B147" s="209"/>
      <c r="C147" s="209"/>
      <c r="D147" s="209"/>
      <c r="I147" s="210"/>
      <c r="J147" s="210"/>
      <c r="K147" s="210"/>
      <c r="L147" s="210"/>
      <c r="P147" s="5"/>
    </row>
    <row r="148" spans="1:34" ht="41.25" customHeight="1" x14ac:dyDescent="0.25">
      <c r="B148" s="211" t="s">
        <v>123</v>
      </c>
      <c r="C148" s="211"/>
      <c r="D148" s="211"/>
      <c r="I148" s="212"/>
      <c r="J148" s="212"/>
      <c r="K148" s="212"/>
      <c r="L148" s="212"/>
      <c r="N148" s="206" t="s">
        <v>124</v>
      </c>
      <c r="O148" s="206"/>
      <c r="P148" s="206"/>
      <c r="Q148" s="206"/>
      <c r="R148" s="206"/>
      <c r="S148" s="133"/>
    </row>
    <row r="149" spans="1:34" s="71" customFormat="1" ht="53.25" customHeight="1" x14ac:dyDescent="0.3">
      <c r="A149" s="69"/>
      <c r="B149" s="211"/>
      <c r="C149" s="211"/>
      <c r="D149" s="211"/>
      <c r="E149" s="58"/>
      <c r="F149" s="58"/>
      <c r="G149" s="58"/>
      <c r="H149" s="58"/>
      <c r="I149" s="58"/>
      <c r="J149" s="58"/>
      <c r="K149" s="155"/>
      <c r="L149" s="155"/>
      <c r="M149" s="155"/>
      <c r="N149" s="206"/>
      <c r="O149" s="206"/>
      <c r="P149" s="206"/>
      <c r="Q149" s="206"/>
      <c r="R149" s="206"/>
      <c r="S149" s="134"/>
      <c r="U149" s="1"/>
      <c r="V149" s="1"/>
      <c r="W149" s="1"/>
      <c r="X149" s="1"/>
      <c r="Y149" s="1"/>
      <c r="Z149" s="1"/>
      <c r="AA149" s="1"/>
      <c r="AB149" s="1"/>
      <c r="AC149" s="1"/>
      <c r="AD149" s="1"/>
      <c r="AE149" s="1"/>
      <c r="AF149" s="1"/>
      <c r="AG149" s="1"/>
      <c r="AH149" s="1"/>
    </row>
    <row r="150" spans="1:34" s="71" customFormat="1" ht="40.5" customHeight="1" x14ac:dyDescent="0.3">
      <c r="A150" s="69"/>
      <c r="B150" s="152"/>
      <c r="C150" s="152"/>
      <c r="D150" s="152"/>
      <c r="E150" s="58"/>
      <c r="F150" s="58"/>
      <c r="G150" s="58"/>
      <c r="H150" s="58"/>
      <c r="I150" s="58"/>
      <c r="J150" s="58"/>
      <c r="K150" s="155"/>
      <c r="L150" s="155"/>
      <c r="M150" s="155"/>
      <c r="N150" s="72"/>
      <c r="O150" s="5"/>
      <c r="P150" s="151"/>
      <c r="Q150" s="151"/>
      <c r="R150" s="151"/>
      <c r="S150" s="151"/>
      <c r="T150" s="72"/>
      <c r="U150" s="1"/>
      <c r="V150" s="1"/>
      <c r="W150" s="1"/>
      <c r="X150" s="1"/>
      <c r="Y150" s="1"/>
      <c r="Z150" s="1"/>
      <c r="AA150" s="1"/>
      <c r="AB150" s="1"/>
      <c r="AC150" s="1"/>
      <c r="AD150" s="1"/>
      <c r="AE150" s="1"/>
      <c r="AF150" s="1"/>
      <c r="AG150" s="1"/>
      <c r="AH150" s="1"/>
    </row>
    <row r="151" spans="1:34" ht="30.75" customHeight="1" x14ac:dyDescent="0.25">
      <c r="B151" s="207"/>
      <c r="C151" s="207"/>
      <c r="D151" s="207"/>
      <c r="M151" s="5"/>
      <c r="N151" s="5"/>
      <c r="O151" s="5"/>
      <c r="P151" s="5"/>
      <c r="Q151" s="5"/>
      <c r="R151" s="5"/>
      <c r="S151" s="5"/>
      <c r="T151" s="5"/>
    </row>
    <row r="152" spans="1:34" ht="15" customHeight="1" x14ac:dyDescent="0.25">
      <c r="B152" s="207"/>
      <c r="C152" s="207"/>
      <c r="D152" s="207"/>
      <c r="N152" s="5"/>
      <c r="O152" s="5"/>
      <c r="P152" s="5"/>
      <c r="Q152" s="5"/>
      <c r="R152" s="5"/>
      <c r="S152" s="5"/>
      <c r="T152" s="5"/>
    </row>
    <row r="153" spans="1:34" x14ac:dyDescent="0.25">
      <c r="B153" s="207"/>
      <c r="C153" s="207"/>
      <c r="D153" s="207"/>
      <c r="N153" s="5"/>
      <c r="O153" s="5"/>
      <c r="P153" s="5"/>
      <c r="Q153" s="5"/>
      <c r="R153" s="5"/>
      <c r="S153" s="5"/>
      <c r="T153" s="5"/>
    </row>
    <row r="154" spans="1:34" x14ac:dyDescent="0.25">
      <c r="N154" s="5"/>
      <c r="T154" s="5"/>
    </row>
    <row r="155" spans="1:34" x14ac:dyDescent="0.25">
      <c r="N155" s="5"/>
      <c r="O155" s="5"/>
      <c r="P155" s="5"/>
      <c r="Q155" s="5"/>
      <c r="R155" s="5"/>
      <c r="S155" s="5"/>
    </row>
    <row r="156" spans="1:34" x14ac:dyDescent="0.25">
      <c r="N156" s="5"/>
      <c r="O156" s="5"/>
      <c r="P156" s="5"/>
      <c r="Q156" s="5"/>
      <c r="R156" s="5"/>
      <c r="S156" s="5"/>
    </row>
    <row r="157" spans="1:34" x14ac:dyDescent="0.25">
      <c r="N157" s="5"/>
      <c r="O157" s="5"/>
      <c r="P157" s="5"/>
      <c r="Q157" s="5"/>
      <c r="R157" s="5"/>
      <c r="S157" s="5"/>
    </row>
    <row r="158" spans="1:34" x14ac:dyDescent="0.25">
      <c r="N158" s="5"/>
      <c r="O158" s="5"/>
      <c r="P158" s="5"/>
      <c r="Q158" s="5"/>
      <c r="R158" s="5"/>
      <c r="S158" s="5"/>
    </row>
    <row r="159" spans="1:34" x14ac:dyDescent="0.25">
      <c r="N159" s="5"/>
      <c r="O159" s="5"/>
      <c r="P159" s="5"/>
      <c r="Q159" s="5"/>
      <c r="R159" s="5"/>
      <c r="S159" s="5"/>
    </row>
    <row r="160" spans="1:34" x14ac:dyDescent="0.25">
      <c r="N160" s="5"/>
      <c r="O160" s="5"/>
      <c r="P160" s="5"/>
      <c r="Q160" s="5"/>
      <c r="R160" s="5"/>
      <c r="S160" s="5"/>
    </row>
    <row r="161" spans="10:20" x14ac:dyDescent="0.25">
      <c r="N161" s="5"/>
      <c r="O161" s="5"/>
      <c r="P161" s="5"/>
      <c r="Q161" s="5"/>
      <c r="R161" s="5"/>
      <c r="S161" s="5"/>
    </row>
    <row r="162" spans="10:20" x14ac:dyDescent="0.25">
      <c r="N162" s="5"/>
      <c r="O162" s="5"/>
      <c r="P162" s="5"/>
      <c r="Q162" s="5"/>
      <c r="R162" s="5"/>
      <c r="S162" s="5"/>
      <c r="T162" s="5"/>
    </row>
    <row r="163" spans="10:20" x14ac:dyDescent="0.25">
      <c r="N163" s="5"/>
      <c r="O163" s="5"/>
      <c r="P163" s="5"/>
      <c r="Q163" s="5"/>
      <c r="R163" s="5"/>
      <c r="S163" s="5"/>
      <c r="T163" s="5"/>
    </row>
    <row r="164" spans="10:20" x14ac:dyDescent="0.25">
      <c r="N164" s="5"/>
      <c r="O164" s="5"/>
      <c r="P164" s="5"/>
      <c r="Q164" s="5"/>
      <c r="R164" s="5"/>
      <c r="S164" s="5"/>
      <c r="T164" s="5"/>
    </row>
    <row r="165" spans="10:20" x14ac:dyDescent="0.25">
      <c r="N165" s="5"/>
      <c r="O165" s="5"/>
      <c r="P165" s="5"/>
      <c r="Q165" s="5"/>
      <c r="R165" s="5"/>
      <c r="S165" s="5"/>
    </row>
    <row r="166" spans="10:20" x14ac:dyDescent="0.25">
      <c r="N166" s="5"/>
      <c r="O166" s="5"/>
      <c r="P166" s="5"/>
      <c r="Q166" s="5"/>
      <c r="R166" s="5"/>
      <c r="S166" s="5"/>
    </row>
    <row r="167" spans="10:20" x14ac:dyDescent="0.25">
      <c r="N167" s="5"/>
      <c r="O167" s="5"/>
      <c r="P167" s="5"/>
      <c r="Q167" s="5"/>
      <c r="R167" s="5"/>
      <c r="S167" s="5"/>
    </row>
    <row r="168" spans="10:20" x14ac:dyDescent="0.25">
      <c r="N168" s="5"/>
      <c r="O168" s="5"/>
      <c r="P168" s="5"/>
      <c r="Q168" s="5"/>
      <c r="R168" s="5"/>
      <c r="S168" s="5"/>
    </row>
    <row r="169" spans="10:20" x14ac:dyDescent="0.25">
      <c r="N169" s="5"/>
      <c r="O169" s="5"/>
      <c r="P169" s="5"/>
      <c r="Q169" s="5"/>
      <c r="R169" s="5"/>
      <c r="S169" s="5"/>
    </row>
    <row r="170" spans="10:20" x14ac:dyDescent="0.25">
      <c r="N170" s="5"/>
      <c r="O170" s="5"/>
      <c r="P170" s="5"/>
      <c r="Q170" s="5"/>
      <c r="R170" s="5"/>
      <c r="S170" s="5"/>
    </row>
    <row r="171" spans="10:20" x14ac:dyDescent="0.25">
      <c r="N171" s="5"/>
      <c r="O171" s="5"/>
      <c r="P171" s="5"/>
      <c r="Q171" s="5"/>
      <c r="R171" s="5"/>
      <c r="S171" s="5"/>
    </row>
    <row r="172" spans="10:20" x14ac:dyDescent="0.25">
      <c r="N172" s="5"/>
      <c r="O172" s="5"/>
      <c r="P172" s="5"/>
      <c r="Q172" s="5"/>
      <c r="R172" s="5"/>
      <c r="S172" s="5"/>
    </row>
    <row r="173" spans="10:20" x14ac:dyDescent="0.25">
      <c r="J173" s="5"/>
      <c r="K173" s="5"/>
      <c r="L173" s="5"/>
      <c r="M173" s="5"/>
      <c r="N173" s="5"/>
      <c r="O173" s="5"/>
      <c r="P173" s="5"/>
      <c r="Q173" s="5"/>
      <c r="R173" s="5"/>
      <c r="S173" s="5"/>
    </row>
    <row r="174" spans="10:20" x14ac:dyDescent="0.25">
      <c r="J174" s="5"/>
      <c r="K174" s="5"/>
      <c r="L174" s="5"/>
      <c r="M174" s="5"/>
      <c r="N174" s="5"/>
      <c r="O174" s="5"/>
      <c r="P174" s="5"/>
      <c r="Q174" s="5"/>
      <c r="R174" s="5"/>
      <c r="S174" s="5"/>
    </row>
    <row r="175" spans="10:20" x14ac:dyDescent="0.25">
      <c r="J175" s="5"/>
      <c r="K175" s="5"/>
      <c r="L175" s="5"/>
      <c r="M175" s="5"/>
      <c r="N175" s="5"/>
      <c r="O175" s="5"/>
      <c r="P175" s="5"/>
      <c r="Q175" s="5"/>
      <c r="R175" s="5"/>
      <c r="S175" s="5"/>
    </row>
    <row r="176" spans="10:20" x14ac:dyDescent="0.25">
      <c r="N176" s="5"/>
      <c r="O176" s="5"/>
      <c r="P176" s="5"/>
      <c r="Q176" s="5"/>
      <c r="R176" s="5"/>
      <c r="S176" s="5"/>
    </row>
    <row r="177" spans="9:19" x14ac:dyDescent="0.25">
      <c r="I177" s="5"/>
      <c r="J177" s="5"/>
      <c r="K177" s="5"/>
      <c r="L177" s="5"/>
      <c r="M177" s="5"/>
      <c r="N177" s="5"/>
      <c r="O177" s="5"/>
      <c r="P177" s="5"/>
      <c r="Q177" s="5"/>
      <c r="R177" s="5"/>
      <c r="S177" s="5"/>
    </row>
    <row r="178" spans="9:19" x14ac:dyDescent="0.25">
      <c r="I178" s="5"/>
      <c r="J178" s="5"/>
      <c r="K178" s="5"/>
      <c r="L178" s="5"/>
      <c r="M178" s="5"/>
      <c r="N178" s="5"/>
      <c r="O178" s="5"/>
      <c r="P178" s="5"/>
      <c r="Q178" s="5"/>
      <c r="R178" s="5"/>
      <c r="S178" s="5"/>
    </row>
    <row r="179" spans="9:19" x14ac:dyDescent="0.25">
      <c r="I179" s="5"/>
      <c r="J179" s="5"/>
      <c r="K179" s="5"/>
      <c r="L179" s="5"/>
      <c r="M179" s="5"/>
      <c r="N179" s="5"/>
      <c r="O179" s="5"/>
      <c r="P179" s="5"/>
      <c r="Q179" s="5"/>
      <c r="R179" s="5"/>
      <c r="S179" s="5"/>
    </row>
    <row r="180" spans="9:19" x14ac:dyDescent="0.25">
      <c r="N180" s="5"/>
      <c r="O180" s="5"/>
      <c r="P180" s="5"/>
      <c r="Q180" s="5"/>
      <c r="R180" s="5"/>
      <c r="S180" s="5"/>
    </row>
    <row r="181" spans="9:19" x14ac:dyDescent="0.25">
      <c r="M181" s="208"/>
      <c r="N181" s="5"/>
      <c r="O181" s="5"/>
      <c r="P181" s="5"/>
      <c r="Q181" s="5"/>
      <c r="R181" s="5"/>
      <c r="S181" s="5"/>
    </row>
    <row r="182" spans="9:19" x14ac:dyDescent="0.25">
      <c r="M182" s="208"/>
      <c r="N182" s="5"/>
      <c r="O182" s="5"/>
      <c r="P182" s="5"/>
      <c r="Q182" s="5"/>
      <c r="R182" s="5"/>
      <c r="S182" s="5"/>
    </row>
    <row r="183" spans="9:19" x14ac:dyDescent="0.25">
      <c r="M183" s="208"/>
      <c r="O183" s="5"/>
      <c r="P183" s="5"/>
      <c r="Q183" s="5"/>
      <c r="R183" s="5"/>
      <c r="S183" s="5"/>
    </row>
    <row r="184" spans="9:19" x14ac:dyDescent="0.25">
      <c r="M184" s="208"/>
      <c r="O184" s="5"/>
      <c r="P184" s="5"/>
      <c r="Q184" s="5"/>
      <c r="R184" s="5"/>
      <c r="S184" s="5"/>
    </row>
    <row r="185" spans="9:19" x14ac:dyDescent="0.25">
      <c r="M185" s="208"/>
      <c r="O185" s="5"/>
      <c r="P185" s="5"/>
      <c r="Q185" s="5"/>
      <c r="R185" s="5"/>
      <c r="S185" s="5"/>
    </row>
    <row r="186" spans="9:19" x14ac:dyDescent="0.25">
      <c r="M186" s="208"/>
      <c r="O186" s="5"/>
      <c r="P186" s="5"/>
      <c r="Q186" s="5"/>
      <c r="R186" s="5"/>
      <c r="S186" s="5"/>
    </row>
    <row r="187" spans="9:19" x14ac:dyDescent="0.25">
      <c r="M187" s="208"/>
      <c r="O187" s="5"/>
      <c r="P187" s="5"/>
      <c r="Q187" s="5"/>
      <c r="R187" s="5"/>
      <c r="S187" s="5"/>
    </row>
    <row r="188" spans="9:19" x14ac:dyDescent="0.25">
      <c r="M188" s="208"/>
      <c r="O188" s="5"/>
      <c r="P188" s="5"/>
      <c r="Q188" s="5"/>
      <c r="R188" s="5"/>
      <c r="S188" s="5"/>
    </row>
    <row r="189" spans="9:19" x14ac:dyDescent="0.25">
      <c r="O189" s="5"/>
      <c r="P189" s="5"/>
      <c r="Q189" s="5"/>
      <c r="R189" s="5"/>
      <c r="S189" s="5"/>
    </row>
    <row r="190" spans="9:19" x14ac:dyDescent="0.25">
      <c r="O190" s="5"/>
      <c r="P190" s="5"/>
      <c r="Q190" s="5"/>
      <c r="R190" s="5"/>
      <c r="S190" s="5"/>
    </row>
    <row r="191" spans="9:19" x14ac:dyDescent="0.25">
      <c r="O191" s="5"/>
      <c r="P191" s="5"/>
      <c r="Q191" s="5"/>
      <c r="R191" s="5"/>
      <c r="S191" s="5"/>
    </row>
    <row r="192" spans="9:19" x14ac:dyDescent="0.25">
      <c r="O192" s="5"/>
      <c r="P192" s="5"/>
      <c r="Q192" s="5"/>
      <c r="R192" s="5"/>
      <c r="S192" s="5"/>
    </row>
    <row r="193" spans="15:19" x14ac:dyDescent="0.25">
      <c r="O193" s="5"/>
      <c r="P193" s="5"/>
      <c r="Q193" s="5"/>
      <c r="R193" s="5"/>
      <c r="S193" s="5"/>
    </row>
    <row r="209" spans="14:20" x14ac:dyDescent="0.25">
      <c r="N209" s="5"/>
      <c r="T209" s="5"/>
    </row>
  </sheetData>
  <autoFilter ref="A6:U46"/>
  <mergeCells count="105">
    <mergeCell ref="N148:R149"/>
    <mergeCell ref="B151:D153"/>
    <mergeCell ref="M181:M184"/>
    <mergeCell ref="M185:M188"/>
    <mergeCell ref="A136:A137"/>
    <mergeCell ref="B136:B137"/>
    <mergeCell ref="C136:C137"/>
    <mergeCell ref="B147:D147"/>
    <mergeCell ref="I147:L147"/>
    <mergeCell ref="B148:D149"/>
    <mergeCell ref="I148:L148"/>
    <mergeCell ref="A132:A133"/>
    <mergeCell ref="B132:B133"/>
    <mergeCell ref="C132:C133"/>
    <mergeCell ref="A134:A135"/>
    <mergeCell ref="B134:B135"/>
    <mergeCell ref="C134:C135"/>
    <mergeCell ref="A128:A129"/>
    <mergeCell ref="B128:B129"/>
    <mergeCell ref="C128:C129"/>
    <mergeCell ref="A130:A131"/>
    <mergeCell ref="B130:B131"/>
    <mergeCell ref="C130:C131"/>
    <mergeCell ref="A124:A125"/>
    <mergeCell ref="B124:B125"/>
    <mergeCell ref="C124:C125"/>
    <mergeCell ref="A126:A127"/>
    <mergeCell ref="B126:B127"/>
    <mergeCell ref="C126:C127"/>
    <mergeCell ref="D108:N108"/>
    <mergeCell ref="A119:R119"/>
    <mergeCell ref="A120:A121"/>
    <mergeCell ref="B120:B121"/>
    <mergeCell ref="C120:C121"/>
    <mergeCell ref="A122:A123"/>
    <mergeCell ref="B122:B123"/>
    <mergeCell ref="C122:C123"/>
    <mergeCell ref="A100:A101"/>
    <mergeCell ref="B100:B101"/>
    <mergeCell ref="C100:C101"/>
    <mergeCell ref="A102:A106"/>
    <mergeCell ref="B102:B106"/>
    <mergeCell ref="A107:A112"/>
    <mergeCell ref="B107:B112"/>
    <mergeCell ref="D79:L79"/>
    <mergeCell ref="A89:A94"/>
    <mergeCell ref="B89:B94"/>
    <mergeCell ref="D89:D94"/>
    <mergeCell ref="A95:A99"/>
    <mergeCell ref="B95:B99"/>
    <mergeCell ref="D95:D99"/>
    <mergeCell ref="A64:A77"/>
    <mergeCell ref="B64:B77"/>
    <mergeCell ref="C64:C66"/>
    <mergeCell ref="C72:C74"/>
    <mergeCell ref="A78:A81"/>
    <mergeCell ref="B78:B81"/>
    <mergeCell ref="A52:A54"/>
    <mergeCell ref="B52:B54"/>
    <mergeCell ref="C52:C54"/>
    <mergeCell ref="A56:A61"/>
    <mergeCell ref="B56:B61"/>
    <mergeCell ref="D57:L57"/>
    <mergeCell ref="A38:A39"/>
    <mergeCell ref="B38:B39"/>
    <mergeCell ref="C38:C39"/>
    <mergeCell ref="A46:R46"/>
    <mergeCell ref="A49:A51"/>
    <mergeCell ref="B49:B51"/>
    <mergeCell ref="C49:C51"/>
    <mergeCell ref="A33:A35"/>
    <mergeCell ref="B33:B35"/>
    <mergeCell ref="C33:C35"/>
    <mergeCell ref="A36:A37"/>
    <mergeCell ref="B36:B37"/>
    <mergeCell ref="C36:C37"/>
    <mergeCell ref="C18:C19"/>
    <mergeCell ref="A23:A27"/>
    <mergeCell ref="B23:B27"/>
    <mergeCell ref="D23:L23"/>
    <mergeCell ref="A30:A32"/>
    <mergeCell ref="B30:B32"/>
    <mergeCell ref="C30:C32"/>
    <mergeCell ref="A14:A15"/>
    <mergeCell ref="B14:B15"/>
    <mergeCell ref="C14:C15"/>
    <mergeCell ref="A16:A17"/>
    <mergeCell ref="B16:B17"/>
    <mergeCell ref="C16:C17"/>
    <mergeCell ref="B8:T8"/>
    <mergeCell ref="A9:A11"/>
    <mergeCell ref="B9:B11"/>
    <mergeCell ref="C9:C11"/>
    <mergeCell ref="A12:A13"/>
    <mergeCell ref="B12:B13"/>
    <mergeCell ref="C12:C13"/>
    <mergeCell ref="M1:R1"/>
    <mergeCell ref="A3:P3"/>
    <mergeCell ref="A4:R4"/>
    <mergeCell ref="A5:A6"/>
    <mergeCell ref="B5:B6"/>
    <mergeCell ref="C5:C6"/>
    <mergeCell ref="D5:D6"/>
    <mergeCell ref="E5:H5"/>
    <mergeCell ref="I5:U5"/>
  </mergeCells>
  <printOptions horizontalCentered="1"/>
  <pageMargins left="0.78740157480314965" right="0.78740157480314965" top="1.3779527559055118" bottom="0.39370078740157483" header="0.70866141732283472" footer="0.31496062992125984"/>
  <pageSetup paperSize="9" scale="34" fitToHeight="8" orientation="landscape" r:id="rId1"/>
  <headerFooter differentFirst="1">
    <oddHeader>&amp;C&amp;P</oddHeader>
  </headerFooter>
  <rowBreaks count="1" manualBreakCount="1">
    <brk id="149"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AG115"/>
  <sheetViews>
    <sheetView tabSelected="1" view="pageBreakPreview" topLeftCell="A4" zoomScaleNormal="80" zoomScaleSheetLayoutView="100" workbookViewId="0">
      <pane xSplit="2" ySplit="8" topLeftCell="C12" activePane="bottomRight" state="frozen"/>
      <selection activeCell="C30" activeCellId="1" sqref="B9:AD13 C30:C32"/>
      <selection pane="topRight" activeCell="C30" activeCellId="1" sqref="B9:AD13 C30:C32"/>
      <selection pane="bottomLeft" activeCell="C30" activeCellId="1" sqref="B9:AD13 C30:C32"/>
      <selection pane="bottomRight" activeCell="A4" sqref="A4:AF4"/>
    </sheetView>
  </sheetViews>
  <sheetFormatPr defaultColWidth="9.140625" defaultRowHeight="15" x14ac:dyDescent="0.25"/>
  <cols>
    <col min="1" max="1" width="4.140625" style="71" customWidth="1"/>
    <col min="2" max="2" width="40.140625" style="74" customWidth="1"/>
    <col min="3" max="3" width="45.42578125" style="75" customWidth="1"/>
    <col min="4" max="4" width="32.85546875" style="74" customWidth="1"/>
    <col min="5" max="5" width="6.140625" style="71" customWidth="1"/>
    <col min="6" max="6" width="9.5703125" style="71" customWidth="1"/>
    <col min="7" max="7" width="8.7109375" style="71" customWidth="1"/>
    <col min="8" max="8" width="11.42578125" style="71" customWidth="1"/>
    <col min="9" max="9" width="8" style="71" customWidth="1"/>
    <col min="10" max="10" width="9" style="73" customWidth="1"/>
    <col min="11" max="11" width="7.85546875" style="71" customWidth="1"/>
    <col min="12" max="12" width="9.140625" style="71" customWidth="1"/>
    <col min="13" max="13" width="7.5703125" style="71" customWidth="1"/>
    <col min="14" max="14" width="8.85546875" style="71" customWidth="1"/>
    <col min="15" max="15" width="9.140625" style="71" customWidth="1"/>
    <col min="16" max="16" width="10.140625" style="71" customWidth="1"/>
    <col min="17" max="17" width="9.42578125" style="71" customWidth="1"/>
    <col min="18" max="18" width="10.7109375" style="71" customWidth="1"/>
    <col min="19" max="19" width="8.42578125" style="71" customWidth="1"/>
    <col min="20" max="20" width="11.28515625" style="71" customWidth="1"/>
    <col min="21" max="21" width="8.7109375" style="71" customWidth="1"/>
    <col min="22" max="22" width="9.7109375" style="71" customWidth="1"/>
    <col min="23" max="23" width="10.85546875" style="71" customWidth="1"/>
    <col min="24" max="24" width="11.28515625" style="71" customWidth="1"/>
    <col min="25" max="31" width="11.140625" style="71" customWidth="1"/>
    <col min="32" max="32" width="14.42578125" style="71" customWidth="1"/>
    <col min="33" max="250" width="9.140625" style="71"/>
    <col min="251" max="251" width="4.5703125" style="71" customWidth="1"/>
    <col min="252" max="252" width="29.140625" style="71" customWidth="1"/>
    <col min="253" max="253" width="14.140625" style="71" customWidth="1"/>
    <col min="254" max="254" width="9.140625" style="71"/>
    <col min="255" max="255" width="10" style="71" customWidth="1"/>
    <col min="256" max="256" width="19.85546875" style="71" customWidth="1"/>
    <col min="257" max="257" width="12.28515625" style="71" customWidth="1"/>
    <col min="258" max="258" width="10" style="71" customWidth="1"/>
    <col min="259" max="259" width="10.140625" style="71" customWidth="1"/>
    <col min="260" max="260" width="10.28515625" style="71" customWidth="1"/>
    <col min="261" max="261" width="10.42578125" style="71" customWidth="1"/>
    <col min="262" max="263" width="10.85546875" style="71" customWidth="1"/>
    <col min="264" max="264" width="9.7109375" style="71" customWidth="1"/>
    <col min="265" max="265" width="12.85546875" style="71" customWidth="1"/>
    <col min="266" max="506" width="9.140625" style="71"/>
    <col min="507" max="507" width="4.5703125" style="71" customWidth="1"/>
    <col min="508" max="508" width="29.140625" style="71" customWidth="1"/>
    <col min="509" max="509" width="14.140625" style="71" customWidth="1"/>
    <col min="510" max="510" width="9.140625" style="71"/>
    <col min="511" max="511" width="10" style="71" customWidth="1"/>
    <col min="512" max="512" width="19.85546875" style="71" customWidth="1"/>
    <col min="513" max="513" width="12.28515625" style="71" customWidth="1"/>
    <col min="514" max="514" width="10" style="71" customWidth="1"/>
    <col min="515" max="515" width="10.140625" style="71" customWidth="1"/>
    <col min="516" max="516" width="10.28515625" style="71" customWidth="1"/>
    <col min="517" max="517" width="10.42578125" style="71" customWidth="1"/>
    <col min="518" max="519" width="10.85546875" style="71" customWidth="1"/>
    <col min="520" max="520" width="9.7109375" style="71" customWidth="1"/>
    <col min="521" max="521" width="12.85546875" style="71" customWidth="1"/>
    <col min="522" max="762" width="9.140625" style="71"/>
    <col min="763" max="763" width="4.5703125" style="71" customWidth="1"/>
    <col min="764" max="764" width="29.140625" style="71" customWidth="1"/>
    <col min="765" max="765" width="14.140625" style="71" customWidth="1"/>
    <col min="766" max="766" width="9.140625" style="71"/>
    <col min="767" max="767" width="10" style="71" customWidth="1"/>
    <col min="768" max="768" width="19.85546875" style="71" customWidth="1"/>
    <col min="769" max="769" width="12.28515625" style="71" customWidth="1"/>
    <col min="770" max="770" width="10" style="71" customWidth="1"/>
    <col min="771" max="771" width="10.140625" style="71" customWidth="1"/>
    <col min="772" max="772" width="10.28515625" style="71" customWidth="1"/>
    <col min="773" max="773" width="10.42578125" style="71" customWidth="1"/>
    <col min="774" max="775" width="10.85546875" style="71" customWidth="1"/>
    <col min="776" max="776" width="9.7109375" style="71" customWidth="1"/>
    <col min="777" max="777" width="12.85546875" style="71" customWidth="1"/>
    <col min="778" max="1018" width="9.140625" style="71"/>
    <col min="1019" max="1019" width="4.5703125" style="71" customWidth="1"/>
    <col min="1020" max="1020" width="29.140625" style="71" customWidth="1"/>
    <col min="1021" max="1021" width="14.140625" style="71" customWidth="1"/>
    <col min="1022" max="1022" width="9.140625" style="71"/>
    <col min="1023" max="1023" width="10" style="71" customWidth="1"/>
    <col min="1024" max="1024" width="19.85546875" style="71" customWidth="1"/>
    <col min="1025" max="1025" width="12.28515625" style="71" customWidth="1"/>
    <col min="1026" max="1026" width="10" style="71" customWidth="1"/>
    <col min="1027" max="1027" width="10.140625" style="71" customWidth="1"/>
    <col min="1028" max="1028" width="10.28515625" style="71" customWidth="1"/>
    <col min="1029" max="1029" width="10.42578125" style="71" customWidth="1"/>
    <col min="1030" max="1031" width="10.85546875" style="71" customWidth="1"/>
    <col min="1032" max="1032" width="9.7109375" style="71" customWidth="1"/>
    <col min="1033" max="1033" width="12.85546875" style="71" customWidth="1"/>
    <col min="1034" max="1274" width="9.140625" style="71"/>
    <col min="1275" max="1275" width="4.5703125" style="71" customWidth="1"/>
    <col min="1276" max="1276" width="29.140625" style="71" customWidth="1"/>
    <col min="1277" max="1277" width="14.140625" style="71" customWidth="1"/>
    <col min="1278" max="1278" width="9.140625" style="71"/>
    <col min="1279" max="1279" width="10" style="71" customWidth="1"/>
    <col min="1280" max="1280" width="19.85546875" style="71" customWidth="1"/>
    <col min="1281" max="1281" width="12.28515625" style="71" customWidth="1"/>
    <col min="1282" max="1282" width="10" style="71" customWidth="1"/>
    <col min="1283" max="1283" width="10.140625" style="71" customWidth="1"/>
    <col min="1284" max="1284" width="10.28515625" style="71" customWidth="1"/>
    <col min="1285" max="1285" width="10.42578125" style="71" customWidth="1"/>
    <col min="1286" max="1287" width="10.85546875" style="71" customWidth="1"/>
    <col min="1288" max="1288" width="9.7109375" style="71" customWidth="1"/>
    <col min="1289" max="1289" width="12.85546875" style="71" customWidth="1"/>
    <col min="1290" max="1530" width="9.140625" style="71"/>
    <col min="1531" max="1531" width="4.5703125" style="71" customWidth="1"/>
    <col min="1532" max="1532" width="29.140625" style="71" customWidth="1"/>
    <col min="1533" max="1533" width="14.140625" style="71" customWidth="1"/>
    <col min="1534" max="1534" width="9.140625" style="71"/>
    <col min="1535" max="1535" width="10" style="71" customWidth="1"/>
    <col min="1536" max="1536" width="19.85546875" style="71" customWidth="1"/>
    <col min="1537" max="1537" width="12.28515625" style="71" customWidth="1"/>
    <col min="1538" max="1538" width="10" style="71" customWidth="1"/>
    <col min="1539" max="1539" width="10.140625" style="71" customWidth="1"/>
    <col min="1540" max="1540" width="10.28515625" style="71" customWidth="1"/>
    <col min="1541" max="1541" width="10.42578125" style="71" customWidth="1"/>
    <col min="1542" max="1543" width="10.85546875" style="71" customWidth="1"/>
    <col min="1544" max="1544" width="9.7109375" style="71" customWidth="1"/>
    <col min="1545" max="1545" width="12.85546875" style="71" customWidth="1"/>
    <col min="1546" max="1786" width="9.140625" style="71"/>
    <col min="1787" max="1787" width="4.5703125" style="71" customWidth="1"/>
    <col min="1788" max="1788" width="29.140625" style="71" customWidth="1"/>
    <col min="1789" max="1789" width="14.140625" style="71" customWidth="1"/>
    <col min="1790" max="1790" width="9.140625" style="71"/>
    <col min="1791" max="1791" width="10" style="71" customWidth="1"/>
    <col min="1792" max="1792" width="19.85546875" style="71" customWidth="1"/>
    <col min="1793" max="1793" width="12.28515625" style="71" customWidth="1"/>
    <col min="1794" max="1794" width="10" style="71" customWidth="1"/>
    <col min="1795" max="1795" width="10.140625" style="71" customWidth="1"/>
    <col min="1796" max="1796" width="10.28515625" style="71" customWidth="1"/>
    <col min="1797" max="1797" width="10.42578125" style="71" customWidth="1"/>
    <col min="1798" max="1799" width="10.85546875" style="71" customWidth="1"/>
    <col min="1800" max="1800" width="9.7109375" style="71" customWidth="1"/>
    <col min="1801" max="1801" width="12.85546875" style="71" customWidth="1"/>
    <col min="1802" max="2042" width="9.140625" style="71"/>
    <col min="2043" max="2043" width="4.5703125" style="71" customWidth="1"/>
    <col min="2044" max="2044" width="29.140625" style="71" customWidth="1"/>
    <col min="2045" max="2045" width="14.140625" style="71" customWidth="1"/>
    <col min="2046" max="2046" width="9.140625" style="71"/>
    <col min="2047" max="2047" width="10" style="71" customWidth="1"/>
    <col min="2048" max="2048" width="19.85546875" style="71" customWidth="1"/>
    <col min="2049" max="2049" width="12.28515625" style="71" customWidth="1"/>
    <col min="2050" max="2050" width="10" style="71" customWidth="1"/>
    <col min="2051" max="2051" width="10.140625" style="71" customWidth="1"/>
    <col min="2052" max="2052" width="10.28515625" style="71" customWidth="1"/>
    <col min="2053" max="2053" width="10.42578125" style="71" customWidth="1"/>
    <col min="2054" max="2055" width="10.85546875" style="71" customWidth="1"/>
    <col min="2056" max="2056" width="9.7109375" style="71" customWidth="1"/>
    <col min="2057" max="2057" width="12.85546875" style="71" customWidth="1"/>
    <col min="2058" max="2298" width="9.140625" style="71"/>
    <col min="2299" max="2299" width="4.5703125" style="71" customWidth="1"/>
    <col min="2300" max="2300" width="29.140625" style="71" customWidth="1"/>
    <col min="2301" max="2301" width="14.140625" style="71" customWidth="1"/>
    <col min="2302" max="2302" width="9.140625" style="71"/>
    <col min="2303" max="2303" width="10" style="71" customWidth="1"/>
    <col min="2304" max="2304" width="19.85546875" style="71" customWidth="1"/>
    <col min="2305" max="2305" width="12.28515625" style="71" customWidth="1"/>
    <col min="2306" max="2306" width="10" style="71" customWidth="1"/>
    <col min="2307" max="2307" width="10.140625" style="71" customWidth="1"/>
    <col min="2308" max="2308" width="10.28515625" style="71" customWidth="1"/>
    <col min="2309" max="2309" width="10.42578125" style="71" customWidth="1"/>
    <col min="2310" max="2311" width="10.85546875" style="71" customWidth="1"/>
    <col min="2312" max="2312" width="9.7109375" style="71" customWidth="1"/>
    <col min="2313" max="2313" width="12.85546875" style="71" customWidth="1"/>
    <col min="2314" max="2554" width="9.140625" style="71"/>
    <col min="2555" max="2555" width="4.5703125" style="71" customWidth="1"/>
    <col min="2556" max="2556" width="29.140625" style="71" customWidth="1"/>
    <col min="2557" max="2557" width="14.140625" style="71" customWidth="1"/>
    <col min="2558" max="2558" width="9.140625" style="71"/>
    <col min="2559" max="2559" width="10" style="71" customWidth="1"/>
    <col min="2560" max="2560" width="19.85546875" style="71" customWidth="1"/>
    <col min="2561" max="2561" width="12.28515625" style="71" customWidth="1"/>
    <col min="2562" max="2562" width="10" style="71" customWidth="1"/>
    <col min="2563" max="2563" width="10.140625" style="71" customWidth="1"/>
    <col min="2564" max="2564" width="10.28515625" style="71" customWidth="1"/>
    <col min="2565" max="2565" width="10.42578125" style="71" customWidth="1"/>
    <col min="2566" max="2567" width="10.85546875" style="71" customWidth="1"/>
    <col min="2568" max="2568" width="9.7109375" style="71" customWidth="1"/>
    <col min="2569" max="2569" width="12.85546875" style="71" customWidth="1"/>
    <col min="2570" max="2810" width="9.140625" style="71"/>
    <col min="2811" max="2811" width="4.5703125" style="71" customWidth="1"/>
    <col min="2812" max="2812" width="29.140625" style="71" customWidth="1"/>
    <col min="2813" max="2813" width="14.140625" style="71" customWidth="1"/>
    <col min="2814" max="2814" width="9.140625" style="71"/>
    <col min="2815" max="2815" width="10" style="71" customWidth="1"/>
    <col min="2816" max="2816" width="19.85546875" style="71" customWidth="1"/>
    <col min="2817" max="2817" width="12.28515625" style="71" customWidth="1"/>
    <col min="2818" max="2818" width="10" style="71" customWidth="1"/>
    <col min="2819" max="2819" width="10.140625" style="71" customWidth="1"/>
    <col min="2820" max="2820" width="10.28515625" style="71" customWidth="1"/>
    <col min="2821" max="2821" width="10.42578125" style="71" customWidth="1"/>
    <col min="2822" max="2823" width="10.85546875" style="71" customWidth="1"/>
    <col min="2824" max="2824" width="9.7109375" style="71" customWidth="1"/>
    <col min="2825" max="2825" width="12.85546875" style="71" customWidth="1"/>
    <col min="2826" max="3066" width="9.140625" style="71"/>
    <col min="3067" max="3067" width="4.5703125" style="71" customWidth="1"/>
    <col min="3068" max="3068" width="29.140625" style="71" customWidth="1"/>
    <col min="3069" max="3069" width="14.140625" style="71" customWidth="1"/>
    <col min="3070" max="3070" width="9.140625" style="71"/>
    <col min="3071" max="3071" width="10" style="71" customWidth="1"/>
    <col min="3072" max="3072" width="19.85546875" style="71" customWidth="1"/>
    <col min="3073" max="3073" width="12.28515625" style="71" customWidth="1"/>
    <col min="3074" max="3074" width="10" style="71" customWidth="1"/>
    <col min="3075" max="3075" width="10.140625" style="71" customWidth="1"/>
    <col min="3076" max="3076" width="10.28515625" style="71" customWidth="1"/>
    <col min="3077" max="3077" width="10.42578125" style="71" customWidth="1"/>
    <col min="3078" max="3079" width="10.85546875" style="71" customWidth="1"/>
    <col min="3080" max="3080" width="9.7109375" style="71" customWidth="1"/>
    <col min="3081" max="3081" width="12.85546875" style="71" customWidth="1"/>
    <col min="3082" max="3322" width="9.140625" style="71"/>
    <col min="3323" max="3323" width="4.5703125" style="71" customWidth="1"/>
    <col min="3324" max="3324" width="29.140625" style="71" customWidth="1"/>
    <col min="3325" max="3325" width="14.140625" style="71" customWidth="1"/>
    <col min="3326" max="3326" width="9.140625" style="71"/>
    <col min="3327" max="3327" width="10" style="71" customWidth="1"/>
    <col min="3328" max="3328" width="19.85546875" style="71" customWidth="1"/>
    <col min="3329" max="3329" width="12.28515625" style="71" customWidth="1"/>
    <col min="3330" max="3330" width="10" style="71" customWidth="1"/>
    <col min="3331" max="3331" width="10.140625" style="71" customWidth="1"/>
    <col min="3332" max="3332" width="10.28515625" style="71" customWidth="1"/>
    <col min="3333" max="3333" width="10.42578125" style="71" customWidth="1"/>
    <col min="3334" max="3335" width="10.85546875" style="71" customWidth="1"/>
    <col min="3336" max="3336" width="9.7109375" style="71" customWidth="1"/>
    <col min="3337" max="3337" width="12.85546875" style="71" customWidth="1"/>
    <col min="3338" max="3578" width="9.140625" style="71"/>
    <col min="3579" max="3579" width="4.5703125" style="71" customWidth="1"/>
    <col min="3580" max="3580" width="29.140625" style="71" customWidth="1"/>
    <col min="3581" max="3581" width="14.140625" style="71" customWidth="1"/>
    <col min="3582" max="3582" width="9.140625" style="71"/>
    <col min="3583" max="3583" width="10" style="71" customWidth="1"/>
    <col min="3584" max="3584" width="19.85546875" style="71" customWidth="1"/>
    <col min="3585" max="3585" width="12.28515625" style="71" customWidth="1"/>
    <col min="3586" max="3586" width="10" style="71" customWidth="1"/>
    <col min="3587" max="3587" width="10.140625" style="71" customWidth="1"/>
    <col min="3588" max="3588" width="10.28515625" style="71" customWidth="1"/>
    <col min="3589" max="3589" width="10.42578125" style="71" customWidth="1"/>
    <col min="3590" max="3591" width="10.85546875" style="71" customWidth="1"/>
    <col min="3592" max="3592" width="9.7109375" style="71" customWidth="1"/>
    <col min="3593" max="3593" width="12.85546875" style="71" customWidth="1"/>
    <col min="3594" max="3834" width="9.140625" style="71"/>
    <col min="3835" max="3835" width="4.5703125" style="71" customWidth="1"/>
    <col min="3836" max="3836" width="29.140625" style="71" customWidth="1"/>
    <col min="3837" max="3837" width="14.140625" style="71" customWidth="1"/>
    <col min="3838" max="3838" width="9.140625" style="71"/>
    <col min="3839" max="3839" width="10" style="71" customWidth="1"/>
    <col min="3840" max="3840" width="19.85546875" style="71" customWidth="1"/>
    <col min="3841" max="3841" width="12.28515625" style="71" customWidth="1"/>
    <col min="3842" max="3842" width="10" style="71" customWidth="1"/>
    <col min="3843" max="3843" width="10.140625" style="71" customWidth="1"/>
    <col min="3844" max="3844" width="10.28515625" style="71" customWidth="1"/>
    <col min="3845" max="3845" width="10.42578125" style="71" customWidth="1"/>
    <col min="3846" max="3847" width="10.85546875" style="71" customWidth="1"/>
    <col min="3848" max="3848" width="9.7109375" style="71" customWidth="1"/>
    <col min="3849" max="3849" width="12.85546875" style="71" customWidth="1"/>
    <col min="3850" max="4090" width="9.140625" style="71"/>
    <col min="4091" max="4091" width="4.5703125" style="71" customWidth="1"/>
    <col min="4092" max="4092" width="29.140625" style="71" customWidth="1"/>
    <col min="4093" max="4093" width="14.140625" style="71" customWidth="1"/>
    <col min="4094" max="4094" width="9.140625" style="71"/>
    <col min="4095" max="4095" width="10" style="71" customWidth="1"/>
    <col min="4096" max="4096" width="19.85546875" style="71" customWidth="1"/>
    <col min="4097" max="4097" width="12.28515625" style="71" customWidth="1"/>
    <col min="4098" max="4098" width="10" style="71" customWidth="1"/>
    <col min="4099" max="4099" width="10.140625" style="71" customWidth="1"/>
    <col min="4100" max="4100" width="10.28515625" style="71" customWidth="1"/>
    <col min="4101" max="4101" width="10.42578125" style="71" customWidth="1"/>
    <col min="4102" max="4103" width="10.85546875" style="71" customWidth="1"/>
    <col min="4104" max="4104" width="9.7109375" style="71" customWidth="1"/>
    <col min="4105" max="4105" width="12.85546875" style="71" customWidth="1"/>
    <col min="4106" max="4346" width="9.140625" style="71"/>
    <col min="4347" max="4347" width="4.5703125" style="71" customWidth="1"/>
    <col min="4348" max="4348" width="29.140625" style="71" customWidth="1"/>
    <col min="4349" max="4349" width="14.140625" style="71" customWidth="1"/>
    <col min="4350" max="4350" width="9.140625" style="71"/>
    <col min="4351" max="4351" width="10" style="71" customWidth="1"/>
    <col min="4352" max="4352" width="19.85546875" style="71" customWidth="1"/>
    <col min="4353" max="4353" width="12.28515625" style="71" customWidth="1"/>
    <col min="4354" max="4354" width="10" style="71" customWidth="1"/>
    <col min="4355" max="4355" width="10.140625" style="71" customWidth="1"/>
    <col min="4356" max="4356" width="10.28515625" style="71" customWidth="1"/>
    <col min="4357" max="4357" width="10.42578125" style="71" customWidth="1"/>
    <col min="4358" max="4359" width="10.85546875" style="71" customWidth="1"/>
    <col min="4360" max="4360" width="9.7109375" style="71" customWidth="1"/>
    <col min="4361" max="4361" width="12.85546875" style="71" customWidth="1"/>
    <col min="4362" max="4602" width="9.140625" style="71"/>
    <col min="4603" max="4603" width="4.5703125" style="71" customWidth="1"/>
    <col min="4604" max="4604" width="29.140625" style="71" customWidth="1"/>
    <col min="4605" max="4605" width="14.140625" style="71" customWidth="1"/>
    <col min="4606" max="4606" width="9.140625" style="71"/>
    <col min="4607" max="4607" width="10" style="71" customWidth="1"/>
    <col min="4608" max="4608" width="19.85546875" style="71" customWidth="1"/>
    <col min="4609" max="4609" width="12.28515625" style="71" customWidth="1"/>
    <col min="4610" max="4610" width="10" style="71" customWidth="1"/>
    <col min="4611" max="4611" width="10.140625" style="71" customWidth="1"/>
    <col min="4612" max="4612" width="10.28515625" style="71" customWidth="1"/>
    <col min="4613" max="4613" width="10.42578125" style="71" customWidth="1"/>
    <col min="4614" max="4615" width="10.85546875" style="71" customWidth="1"/>
    <col min="4616" max="4616" width="9.7109375" style="71" customWidth="1"/>
    <col min="4617" max="4617" width="12.85546875" style="71" customWidth="1"/>
    <col min="4618" max="4858" width="9.140625" style="71"/>
    <col min="4859" max="4859" width="4.5703125" style="71" customWidth="1"/>
    <col min="4860" max="4860" width="29.140625" style="71" customWidth="1"/>
    <col min="4861" max="4861" width="14.140625" style="71" customWidth="1"/>
    <col min="4862" max="4862" width="9.140625" style="71"/>
    <col min="4863" max="4863" width="10" style="71" customWidth="1"/>
    <col min="4864" max="4864" width="19.85546875" style="71" customWidth="1"/>
    <col min="4865" max="4865" width="12.28515625" style="71" customWidth="1"/>
    <col min="4866" max="4866" width="10" style="71" customWidth="1"/>
    <col min="4867" max="4867" width="10.140625" style="71" customWidth="1"/>
    <col min="4868" max="4868" width="10.28515625" style="71" customWidth="1"/>
    <col min="4869" max="4869" width="10.42578125" style="71" customWidth="1"/>
    <col min="4870" max="4871" width="10.85546875" style="71" customWidth="1"/>
    <col min="4872" max="4872" width="9.7109375" style="71" customWidth="1"/>
    <col min="4873" max="4873" width="12.85546875" style="71" customWidth="1"/>
    <col min="4874" max="5114" width="9.140625" style="71"/>
    <col min="5115" max="5115" width="4.5703125" style="71" customWidth="1"/>
    <col min="5116" max="5116" width="29.140625" style="71" customWidth="1"/>
    <col min="5117" max="5117" width="14.140625" style="71" customWidth="1"/>
    <col min="5118" max="5118" width="9.140625" style="71"/>
    <col min="5119" max="5119" width="10" style="71" customWidth="1"/>
    <col min="5120" max="5120" width="19.85546875" style="71" customWidth="1"/>
    <col min="5121" max="5121" width="12.28515625" style="71" customWidth="1"/>
    <col min="5122" max="5122" width="10" style="71" customWidth="1"/>
    <col min="5123" max="5123" width="10.140625" style="71" customWidth="1"/>
    <col min="5124" max="5124" width="10.28515625" style="71" customWidth="1"/>
    <col min="5125" max="5125" width="10.42578125" style="71" customWidth="1"/>
    <col min="5126" max="5127" width="10.85546875" style="71" customWidth="1"/>
    <col min="5128" max="5128" width="9.7109375" style="71" customWidth="1"/>
    <col min="5129" max="5129" width="12.85546875" style="71" customWidth="1"/>
    <col min="5130" max="5370" width="9.140625" style="71"/>
    <col min="5371" max="5371" width="4.5703125" style="71" customWidth="1"/>
    <col min="5372" max="5372" width="29.140625" style="71" customWidth="1"/>
    <col min="5373" max="5373" width="14.140625" style="71" customWidth="1"/>
    <col min="5374" max="5374" width="9.140625" style="71"/>
    <col min="5375" max="5375" width="10" style="71" customWidth="1"/>
    <col min="5376" max="5376" width="19.85546875" style="71" customWidth="1"/>
    <col min="5377" max="5377" width="12.28515625" style="71" customWidth="1"/>
    <col min="5378" max="5378" width="10" style="71" customWidth="1"/>
    <col min="5379" max="5379" width="10.140625" style="71" customWidth="1"/>
    <col min="5380" max="5380" width="10.28515625" style="71" customWidth="1"/>
    <col min="5381" max="5381" width="10.42578125" style="71" customWidth="1"/>
    <col min="5382" max="5383" width="10.85546875" style="71" customWidth="1"/>
    <col min="5384" max="5384" width="9.7109375" style="71" customWidth="1"/>
    <col min="5385" max="5385" width="12.85546875" style="71" customWidth="1"/>
    <col min="5386" max="5626" width="9.140625" style="71"/>
    <col min="5627" max="5627" width="4.5703125" style="71" customWidth="1"/>
    <col min="5628" max="5628" width="29.140625" style="71" customWidth="1"/>
    <col min="5629" max="5629" width="14.140625" style="71" customWidth="1"/>
    <col min="5630" max="5630" width="9.140625" style="71"/>
    <col min="5631" max="5631" width="10" style="71" customWidth="1"/>
    <col min="5632" max="5632" width="19.85546875" style="71" customWidth="1"/>
    <col min="5633" max="5633" width="12.28515625" style="71" customWidth="1"/>
    <col min="5634" max="5634" width="10" style="71" customWidth="1"/>
    <col min="5635" max="5635" width="10.140625" style="71" customWidth="1"/>
    <col min="5636" max="5636" width="10.28515625" style="71" customWidth="1"/>
    <col min="5637" max="5637" width="10.42578125" style="71" customWidth="1"/>
    <col min="5638" max="5639" width="10.85546875" style="71" customWidth="1"/>
    <col min="5640" max="5640" width="9.7109375" style="71" customWidth="1"/>
    <col min="5641" max="5641" width="12.85546875" style="71" customWidth="1"/>
    <col min="5642" max="5882" width="9.140625" style="71"/>
    <col min="5883" max="5883" width="4.5703125" style="71" customWidth="1"/>
    <col min="5884" max="5884" width="29.140625" style="71" customWidth="1"/>
    <col min="5885" max="5885" width="14.140625" style="71" customWidth="1"/>
    <col min="5886" max="5886" width="9.140625" style="71"/>
    <col min="5887" max="5887" width="10" style="71" customWidth="1"/>
    <col min="5888" max="5888" width="19.85546875" style="71" customWidth="1"/>
    <col min="5889" max="5889" width="12.28515625" style="71" customWidth="1"/>
    <col min="5890" max="5890" width="10" style="71" customWidth="1"/>
    <col min="5891" max="5891" width="10.140625" style="71" customWidth="1"/>
    <col min="5892" max="5892" width="10.28515625" style="71" customWidth="1"/>
    <col min="5893" max="5893" width="10.42578125" style="71" customWidth="1"/>
    <col min="5894" max="5895" width="10.85546875" style="71" customWidth="1"/>
    <col min="5896" max="5896" width="9.7109375" style="71" customWidth="1"/>
    <col min="5897" max="5897" width="12.85546875" style="71" customWidth="1"/>
    <col min="5898" max="6138" width="9.140625" style="71"/>
    <col min="6139" max="6139" width="4.5703125" style="71" customWidth="1"/>
    <col min="6140" max="6140" width="29.140625" style="71" customWidth="1"/>
    <col min="6141" max="6141" width="14.140625" style="71" customWidth="1"/>
    <col min="6142" max="6142" width="9.140625" style="71"/>
    <col min="6143" max="6143" width="10" style="71" customWidth="1"/>
    <col min="6144" max="6144" width="19.85546875" style="71" customWidth="1"/>
    <col min="6145" max="6145" width="12.28515625" style="71" customWidth="1"/>
    <col min="6146" max="6146" width="10" style="71" customWidth="1"/>
    <col min="6147" max="6147" width="10.140625" style="71" customWidth="1"/>
    <col min="6148" max="6148" width="10.28515625" style="71" customWidth="1"/>
    <col min="6149" max="6149" width="10.42578125" style="71" customWidth="1"/>
    <col min="6150" max="6151" width="10.85546875" style="71" customWidth="1"/>
    <col min="6152" max="6152" width="9.7109375" style="71" customWidth="1"/>
    <col min="6153" max="6153" width="12.85546875" style="71" customWidth="1"/>
    <col min="6154" max="6394" width="9.140625" style="71"/>
    <col min="6395" max="6395" width="4.5703125" style="71" customWidth="1"/>
    <col min="6396" max="6396" width="29.140625" style="71" customWidth="1"/>
    <col min="6397" max="6397" width="14.140625" style="71" customWidth="1"/>
    <col min="6398" max="6398" width="9.140625" style="71"/>
    <col min="6399" max="6399" width="10" style="71" customWidth="1"/>
    <col min="6400" max="6400" width="19.85546875" style="71" customWidth="1"/>
    <col min="6401" max="6401" width="12.28515625" style="71" customWidth="1"/>
    <col min="6402" max="6402" width="10" style="71" customWidth="1"/>
    <col min="6403" max="6403" width="10.140625" style="71" customWidth="1"/>
    <col min="6404" max="6404" width="10.28515625" style="71" customWidth="1"/>
    <col min="6405" max="6405" width="10.42578125" style="71" customWidth="1"/>
    <col min="6406" max="6407" width="10.85546875" style="71" customWidth="1"/>
    <col min="6408" max="6408" width="9.7109375" style="71" customWidth="1"/>
    <col min="6409" max="6409" width="12.85546875" style="71" customWidth="1"/>
    <col min="6410" max="6650" width="9.140625" style="71"/>
    <col min="6651" max="6651" width="4.5703125" style="71" customWidth="1"/>
    <col min="6652" max="6652" width="29.140625" style="71" customWidth="1"/>
    <col min="6653" max="6653" width="14.140625" style="71" customWidth="1"/>
    <col min="6654" max="6654" width="9.140625" style="71"/>
    <col min="6655" max="6655" width="10" style="71" customWidth="1"/>
    <col min="6656" max="6656" width="19.85546875" style="71" customWidth="1"/>
    <col min="6657" max="6657" width="12.28515625" style="71" customWidth="1"/>
    <col min="6658" max="6658" width="10" style="71" customWidth="1"/>
    <col min="6659" max="6659" width="10.140625" style="71" customWidth="1"/>
    <col min="6660" max="6660" width="10.28515625" style="71" customWidth="1"/>
    <col min="6661" max="6661" width="10.42578125" style="71" customWidth="1"/>
    <col min="6662" max="6663" width="10.85546875" style="71" customWidth="1"/>
    <col min="6664" max="6664" width="9.7109375" style="71" customWidth="1"/>
    <col min="6665" max="6665" width="12.85546875" style="71" customWidth="1"/>
    <col min="6666" max="6906" width="9.140625" style="71"/>
    <col min="6907" max="6907" width="4.5703125" style="71" customWidth="1"/>
    <col min="6908" max="6908" width="29.140625" style="71" customWidth="1"/>
    <col min="6909" max="6909" width="14.140625" style="71" customWidth="1"/>
    <col min="6910" max="6910" width="9.140625" style="71"/>
    <col min="6911" max="6911" width="10" style="71" customWidth="1"/>
    <col min="6912" max="6912" width="19.85546875" style="71" customWidth="1"/>
    <col min="6913" max="6913" width="12.28515625" style="71" customWidth="1"/>
    <col min="6914" max="6914" width="10" style="71" customWidth="1"/>
    <col min="6915" max="6915" width="10.140625" style="71" customWidth="1"/>
    <col min="6916" max="6916" width="10.28515625" style="71" customWidth="1"/>
    <col min="6917" max="6917" width="10.42578125" style="71" customWidth="1"/>
    <col min="6918" max="6919" width="10.85546875" style="71" customWidth="1"/>
    <col min="6920" max="6920" width="9.7109375" style="71" customWidth="1"/>
    <col min="6921" max="6921" width="12.85546875" style="71" customWidth="1"/>
    <col min="6922" max="7162" width="9.140625" style="71"/>
    <col min="7163" max="7163" width="4.5703125" style="71" customWidth="1"/>
    <col min="7164" max="7164" width="29.140625" style="71" customWidth="1"/>
    <col min="7165" max="7165" width="14.140625" style="71" customWidth="1"/>
    <col min="7166" max="7166" width="9.140625" style="71"/>
    <col min="7167" max="7167" width="10" style="71" customWidth="1"/>
    <col min="7168" max="7168" width="19.85546875" style="71" customWidth="1"/>
    <col min="7169" max="7169" width="12.28515625" style="71" customWidth="1"/>
    <col min="7170" max="7170" width="10" style="71" customWidth="1"/>
    <col min="7171" max="7171" width="10.140625" style="71" customWidth="1"/>
    <col min="7172" max="7172" width="10.28515625" style="71" customWidth="1"/>
    <col min="7173" max="7173" width="10.42578125" style="71" customWidth="1"/>
    <col min="7174" max="7175" width="10.85546875" style="71" customWidth="1"/>
    <col min="7176" max="7176" width="9.7109375" style="71" customWidth="1"/>
    <col min="7177" max="7177" width="12.85546875" style="71" customWidth="1"/>
    <col min="7178" max="7418" width="9.140625" style="71"/>
    <col min="7419" max="7419" width="4.5703125" style="71" customWidth="1"/>
    <col min="7420" max="7420" width="29.140625" style="71" customWidth="1"/>
    <col min="7421" max="7421" width="14.140625" style="71" customWidth="1"/>
    <col min="7422" max="7422" width="9.140625" style="71"/>
    <col min="7423" max="7423" width="10" style="71" customWidth="1"/>
    <col min="7424" max="7424" width="19.85546875" style="71" customWidth="1"/>
    <col min="7425" max="7425" width="12.28515625" style="71" customWidth="1"/>
    <col min="7426" max="7426" width="10" style="71" customWidth="1"/>
    <col min="7427" max="7427" width="10.140625" style="71" customWidth="1"/>
    <col min="7428" max="7428" width="10.28515625" style="71" customWidth="1"/>
    <col min="7429" max="7429" width="10.42578125" style="71" customWidth="1"/>
    <col min="7430" max="7431" width="10.85546875" style="71" customWidth="1"/>
    <col min="7432" max="7432" width="9.7109375" style="71" customWidth="1"/>
    <col min="7433" max="7433" width="12.85546875" style="71" customWidth="1"/>
    <col min="7434" max="7674" width="9.140625" style="71"/>
    <col min="7675" max="7675" width="4.5703125" style="71" customWidth="1"/>
    <col min="7676" max="7676" width="29.140625" style="71" customWidth="1"/>
    <col min="7677" max="7677" width="14.140625" style="71" customWidth="1"/>
    <col min="7678" max="7678" width="9.140625" style="71"/>
    <col min="7679" max="7679" width="10" style="71" customWidth="1"/>
    <col min="7680" max="7680" width="19.85546875" style="71" customWidth="1"/>
    <col min="7681" max="7681" width="12.28515625" style="71" customWidth="1"/>
    <col min="7682" max="7682" width="10" style="71" customWidth="1"/>
    <col min="7683" max="7683" width="10.140625" style="71" customWidth="1"/>
    <col min="7684" max="7684" width="10.28515625" style="71" customWidth="1"/>
    <col min="7685" max="7685" width="10.42578125" style="71" customWidth="1"/>
    <col min="7686" max="7687" width="10.85546875" style="71" customWidth="1"/>
    <col min="7688" max="7688" width="9.7109375" style="71" customWidth="1"/>
    <col min="7689" max="7689" width="12.85546875" style="71" customWidth="1"/>
    <col min="7690" max="7930" width="9.140625" style="71"/>
    <col min="7931" max="7931" width="4.5703125" style="71" customWidth="1"/>
    <col min="7932" max="7932" width="29.140625" style="71" customWidth="1"/>
    <col min="7933" max="7933" width="14.140625" style="71" customWidth="1"/>
    <col min="7934" max="7934" width="9.140625" style="71"/>
    <col min="7935" max="7935" width="10" style="71" customWidth="1"/>
    <col min="7936" max="7936" width="19.85546875" style="71" customWidth="1"/>
    <col min="7937" max="7937" width="12.28515625" style="71" customWidth="1"/>
    <col min="7938" max="7938" width="10" style="71" customWidth="1"/>
    <col min="7939" max="7939" width="10.140625" style="71" customWidth="1"/>
    <col min="7940" max="7940" width="10.28515625" style="71" customWidth="1"/>
    <col min="7941" max="7941" width="10.42578125" style="71" customWidth="1"/>
    <col min="7942" max="7943" width="10.85546875" style="71" customWidth="1"/>
    <col min="7944" max="7944" width="9.7109375" style="71" customWidth="1"/>
    <col min="7945" max="7945" width="12.85546875" style="71" customWidth="1"/>
    <col min="7946" max="8186" width="9.140625" style="71"/>
    <col min="8187" max="8187" width="4.5703125" style="71" customWidth="1"/>
    <col min="8188" max="8188" width="29.140625" style="71" customWidth="1"/>
    <col min="8189" max="8189" width="14.140625" style="71" customWidth="1"/>
    <col min="8190" max="8190" width="9.140625" style="71"/>
    <col min="8191" max="8191" width="10" style="71" customWidth="1"/>
    <col min="8192" max="8192" width="19.85546875" style="71" customWidth="1"/>
    <col min="8193" max="8193" width="12.28515625" style="71" customWidth="1"/>
    <col min="8194" max="8194" width="10" style="71" customWidth="1"/>
    <col min="8195" max="8195" width="10.140625" style="71" customWidth="1"/>
    <col min="8196" max="8196" width="10.28515625" style="71" customWidth="1"/>
    <col min="8197" max="8197" width="10.42578125" style="71" customWidth="1"/>
    <col min="8198" max="8199" width="10.85546875" style="71" customWidth="1"/>
    <col min="8200" max="8200" width="9.7109375" style="71" customWidth="1"/>
    <col min="8201" max="8201" width="12.85546875" style="71" customWidth="1"/>
    <col min="8202" max="8442" width="9.140625" style="71"/>
    <col min="8443" max="8443" width="4.5703125" style="71" customWidth="1"/>
    <col min="8444" max="8444" width="29.140625" style="71" customWidth="1"/>
    <col min="8445" max="8445" width="14.140625" style="71" customWidth="1"/>
    <col min="8446" max="8446" width="9.140625" style="71"/>
    <col min="8447" max="8447" width="10" style="71" customWidth="1"/>
    <col min="8448" max="8448" width="19.85546875" style="71" customWidth="1"/>
    <col min="8449" max="8449" width="12.28515625" style="71" customWidth="1"/>
    <col min="8450" max="8450" width="10" style="71" customWidth="1"/>
    <col min="8451" max="8451" width="10.140625" style="71" customWidth="1"/>
    <col min="8452" max="8452" width="10.28515625" style="71" customWidth="1"/>
    <col min="8453" max="8453" width="10.42578125" style="71" customWidth="1"/>
    <col min="8454" max="8455" width="10.85546875" style="71" customWidth="1"/>
    <col min="8456" max="8456" width="9.7109375" style="71" customWidth="1"/>
    <col min="8457" max="8457" width="12.85546875" style="71" customWidth="1"/>
    <col min="8458" max="8698" width="9.140625" style="71"/>
    <col min="8699" max="8699" width="4.5703125" style="71" customWidth="1"/>
    <col min="8700" max="8700" width="29.140625" style="71" customWidth="1"/>
    <col min="8701" max="8701" width="14.140625" style="71" customWidth="1"/>
    <col min="8702" max="8702" width="9.140625" style="71"/>
    <col min="8703" max="8703" width="10" style="71" customWidth="1"/>
    <col min="8704" max="8704" width="19.85546875" style="71" customWidth="1"/>
    <col min="8705" max="8705" width="12.28515625" style="71" customWidth="1"/>
    <col min="8706" max="8706" width="10" style="71" customWidth="1"/>
    <col min="8707" max="8707" width="10.140625" style="71" customWidth="1"/>
    <col min="8708" max="8708" width="10.28515625" style="71" customWidth="1"/>
    <col min="8709" max="8709" width="10.42578125" style="71" customWidth="1"/>
    <col min="8710" max="8711" width="10.85546875" style="71" customWidth="1"/>
    <col min="8712" max="8712" width="9.7109375" style="71" customWidth="1"/>
    <col min="8713" max="8713" width="12.85546875" style="71" customWidth="1"/>
    <col min="8714" max="8954" width="9.140625" style="71"/>
    <col min="8955" max="8955" width="4.5703125" style="71" customWidth="1"/>
    <col min="8956" max="8956" width="29.140625" style="71" customWidth="1"/>
    <col min="8957" max="8957" width="14.140625" style="71" customWidth="1"/>
    <col min="8958" max="8958" width="9.140625" style="71"/>
    <col min="8959" max="8959" width="10" style="71" customWidth="1"/>
    <col min="8960" max="8960" width="19.85546875" style="71" customWidth="1"/>
    <col min="8961" max="8961" width="12.28515625" style="71" customWidth="1"/>
    <col min="8962" max="8962" width="10" style="71" customWidth="1"/>
    <col min="8963" max="8963" width="10.140625" style="71" customWidth="1"/>
    <col min="8964" max="8964" width="10.28515625" style="71" customWidth="1"/>
    <col min="8965" max="8965" width="10.42578125" style="71" customWidth="1"/>
    <col min="8966" max="8967" width="10.85546875" style="71" customWidth="1"/>
    <col min="8968" max="8968" width="9.7109375" style="71" customWidth="1"/>
    <col min="8969" max="8969" width="12.85546875" style="71" customWidth="1"/>
    <col min="8970" max="9210" width="9.140625" style="71"/>
    <col min="9211" max="9211" width="4.5703125" style="71" customWidth="1"/>
    <col min="9212" max="9212" width="29.140625" style="71" customWidth="1"/>
    <col min="9213" max="9213" width="14.140625" style="71" customWidth="1"/>
    <col min="9214" max="9214" width="9.140625" style="71"/>
    <col min="9215" max="9215" width="10" style="71" customWidth="1"/>
    <col min="9216" max="9216" width="19.85546875" style="71" customWidth="1"/>
    <col min="9217" max="9217" width="12.28515625" style="71" customWidth="1"/>
    <col min="9218" max="9218" width="10" style="71" customWidth="1"/>
    <col min="9219" max="9219" width="10.140625" style="71" customWidth="1"/>
    <col min="9220" max="9220" width="10.28515625" style="71" customWidth="1"/>
    <col min="9221" max="9221" width="10.42578125" style="71" customWidth="1"/>
    <col min="9222" max="9223" width="10.85546875" style="71" customWidth="1"/>
    <col min="9224" max="9224" width="9.7109375" style="71" customWidth="1"/>
    <col min="9225" max="9225" width="12.85546875" style="71" customWidth="1"/>
    <col min="9226" max="9466" width="9.140625" style="71"/>
    <col min="9467" max="9467" width="4.5703125" style="71" customWidth="1"/>
    <col min="9468" max="9468" width="29.140625" style="71" customWidth="1"/>
    <col min="9469" max="9469" width="14.140625" style="71" customWidth="1"/>
    <col min="9470" max="9470" width="9.140625" style="71"/>
    <col min="9471" max="9471" width="10" style="71" customWidth="1"/>
    <col min="9472" max="9472" width="19.85546875" style="71" customWidth="1"/>
    <col min="9473" max="9473" width="12.28515625" style="71" customWidth="1"/>
    <col min="9474" max="9474" width="10" style="71" customWidth="1"/>
    <col min="9475" max="9475" width="10.140625" style="71" customWidth="1"/>
    <col min="9476" max="9476" width="10.28515625" style="71" customWidth="1"/>
    <col min="9477" max="9477" width="10.42578125" style="71" customWidth="1"/>
    <col min="9478" max="9479" width="10.85546875" style="71" customWidth="1"/>
    <col min="9480" max="9480" width="9.7109375" style="71" customWidth="1"/>
    <col min="9481" max="9481" width="12.85546875" style="71" customWidth="1"/>
    <col min="9482" max="9722" width="9.140625" style="71"/>
    <col min="9723" max="9723" width="4.5703125" style="71" customWidth="1"/>
    <col min="9724" max="9724" width="29.140625" style="71" customWidth="1"/>
    <col min="9725" max="9725" width="14.140625" style="71" customWidth="1"/>
    <col min="9726" max="9726" width="9.140625" style="71"/>
    <col min="9727" max="9727" width="10" style="71" customWidth="1"/>
    <col min="9728" max="9728" width="19.85546875" style="71" customWidth="1"/>
    <col min="9729" max="9729" width="12.28515625" style="71" customWidth="1"/>
    <col min="9730" max="9730" width="10" style="71" customWidth="1"/>
    <col min="9731" max="9731" width="10.140625" style="71" customWidth="1"/>
    <col min="9732" max="9732" width="10.28515625" style="71" customWidth="1"/>
    <col min="9733" max="9733" width="10.42578125" style="71" customWidth="1"/>
    <col min="9734" max="9735" width="10.85546875" style="71" customWidth="1"/>
    <col min="9736" max="9736" width="9.7109375" style="71" customWidth="1"/>
    <col min="9737" max="9737" width="12.85546875" style="71" customWidth="1"/>
    <col min="9738" max="9978" width="9.140625" style="71"/>
    <col min="9979" max="9979" width="4.5703125" style="71" customWidth="1"/>
    <col min="9980" max="9980" width="29.140625" style="71" customWidth="1"/>
    <col min="9981" max="9981" width="14.140625" style="71" customWidth="1"/>
    <col min="9982" max="9982" width="9.140625" style="71"/>
    <col min="9983" max="9983" width="10" style="71" customWidth="1"/>
    <col min="9984" max="9984" width="19.85546875" style="71" customWidth="1"/>
    <col min="9985" max="9985" width="12.28515625" style="71" customWidth="1"/>
    <col min="9986" max="9986" width="10" style="71" customWidth="1"/>
    <col min="9987" max="9987" width="10.140625" style="71" customWidth="1"/>
    <col min="9988" max="9988" width="10.28515625" style="71" customWidth="1"/>
    <col min="9989" max="9989" width="10.42578125" style="71" customWidth="1"/>
    <col min="9990" max="9991" width="10.85546875" style="71" customWidth="1"/>
    <col min="9992" max="9992" width="9.7109375" style="71" customWidth="1"/>
    <col min="9993" max="9993" width="12.85546875" style="71" customWidth="1"/>
    <col min="9994" max="10234" width="9.140625" style="71"/>
    <col min="10235" max="10235" width="4.5703125" style="71" customWidth="1"/>
    <col min="10236" max="10236" width="29.140625" style="71" customWidth="1"/>
    <col min="10237" max="10237" width="14.140625" style="71" customWidth="1"/>
    <col min="10238" max="10238" width="9.140625" style="71"/>
    <col min="10239" max="10239" width="10" style="71" customWidth="1"/>
    <col min="10240" max="10240" width="19.85546875" style="71" customWidth="1"/>
    <col min="10241" max="10241" width="12.28515625" style="71" customWidth="1"/>
    <col min="10242" max="10242" width="10" style="71" customWidth="1"/>
    <col min="10243" max="10243" width="10.140625" style="71" customWidth="1"/>
    <col min="10244" max="10244" width="10.28515625" style="71" customWidth="1"/>
    <col min="10245" max="10245" width="10.42578125" style="71" customWidth="1"/>
    <col min="10246" max="10247" width="10.85546875" style="71" customWidth="1"/>
    <col min="10248" max="10248" width="9.7109375" style="71" customWidth="1"/>
    <col min="10249" max="10249" width="12.85546875" style="71" customWidth="1"/>
    <col min="10250" max="10490" width="9.140625" style="71"/>
    <col min="10491" max="10491" width="4.5703125" style="71" customWidth="1"/>
    <col min="10492" max="10492" width="29.140625" style="71" customWidth="1"/>
    <col min="10493" max="10493" width="14.140625" style="71" customWidth="1"/>
    <col min="10494" max="10494" width="9.140625" style="71"/>
    <col min="10495" max="10495" width="10" style="71" customWidth="1"/>
    <col min="10496" max="10496" width="19.85546875" style="71" customWidth="1"/>
    <col min="10497" max="10497" width="12.28515625" style="71" customWidth="1"/>
    <col min="10498" max="10498" width="10" style="71" customWidth="1"/>
    <col min="10499" max="10499" width="10.140625" style="71" customWidth="1"/>
    <col min="10500" max="10500" width="10.28515625" style="71" customWidth="1"/>
    <col min="10501" max="10501" width="10.42578125" style="71" customWidth="1"/>
    <col min="10502" max="10503" width="10.85546875" style="71" customWidth="1"/>
    <col min="10504" max="10504" width="9.7109375" style="71" customWidth="1"/>
    <col min="10505" max="10505" width="12.85546875" style="71" customWidth="1"/>
    <col min="10506" max="10746" width="9.140625" style="71"/>
    <col min="10747" max="10747" width="4.5703125" style="71" customWidth="1"/>
    <col min="10748" max="10748" width="29.140625" style="71" customWidth="1"/>
    <col min="10749" max="10749" width="14.140625" style="71" customWidth="1"/>
    <col min="10750" max="10750" width="9.140625" style="71"/>
    <col min="10751" max="10751" width="10" style="71" customWidth="1"/>
    <col min="10752" max="10752" width="19.85546875" style="71" customWidth="1"/>
    <col min="10753" max="10753" width="12.28515625" style="71" customWidth="1"/>
    <col min="10754" max="10754" width="10" style="71" customWidth="1"/>
    <col min="10755" max="10755" width="10.140625" style="71" customWidth="1"/>
    <col min="10756" max="10756" width="10.28515625" style="71" customWidth="1"/>
    <col min="10757" max="10757" width="10.42578125" style="71" customWidth="1"/>
    <col min="10758" max="10759" width="10.85546875" style="71" customWidth="1"/>
    <col min="10760" max="10760" width="9.7109375" style="71" customWidth="1"/>
    <col min="10761" max="10761" width="12.85546875" style="71" customWidth="1"/>
    <col min="10762" max="11002" width="9.140625" style="71"/>
    <col min="11003" max="11003" width="4.5703125" style="71" customWidth="1"/>
    <col min="11004" max="11004" width="29.140625" style="71" customWidth="1"/>
    <col min="11005" max="11005" width="14.140625" style="71" customWidth="1"/>
    <col min="11006" max="11006" width="9.140625" style="71"/>
    <col min="11007" max="11007" width="10" style="71" customWidth="1"/>
    <col min="11008" max="11008" width="19.85546875" style="71" customWidth="1"/>
    <col min="11009" max="11009" width="12.28515625" style="71" customWidth="1"/>
    <col min="11010" max="11010" width="10" style="71" customWidth="1"/>
    <col min="11011" max="11011" width="10.140625" style="71" customWidth="1"/>
    <col min="11012" max="11012" width="10.28515625" style="71" customWidth="1"/>
    <col min="11013" max="11013" width="10.42578125" style="71" customWidth="1"/>
    <col min="11014" max="11015" width="10.85546875" style="71" customWidth="1"/>
    <col min="11016" max="11016" width="9.7109375" style="71" customWidth="1"/>
    <col min="11017" max="11017" width="12.85546875" style="71" customWidth="1"/>
    <col min="11018" max="11258" width="9.140625" style="71"/>
    <col min="11259" max="11259" width="4.5703125" style="71" customWidth="1"/>
    <col min="11260" max="11260" width="29.140625" style="71" customWidth="1"/>
    <col min="11261" max="11261" width="14.140625" style="71" customWidth="1"/>
    <col min="11262" max="11262" width="9.140625" style="71"/>
    <col min="11263" max="11263" width="10" style="71" customWidth="1"/>
    <col min="11264" max="11264" width="19.85546875" style="71" customWidth="1"/>
    <col min="11265" max="11265" width="12.28515625" style="71" customWidth="1"/>
    <col min="11266" max="11266" width="10" style="71" customWidth="1"/>
    <col min="11267" max="11267" width="10.140625" style="71" customWidth="1"/>
    <col min="11268" max="11268" width="10.28515625" style="71" customWidth="1"/>
    <col min="11269" max="11269" width="10.42578125" style="71" customWidth="1"/>
    <col min="11270" max="11271" width="10.85546875" style="71" customWidth="1"/>
    <col min="11272" max="11272" width="9.7109375" style="71" customWidth="1"/>
    <col min="11273" max="11273" width="12.85546875" style="71" customWidth="1"/>
    <col min="11274" max="11514" width="9.140625" style="71"/>
    <col min="11515" max="11515" width="4.5703125" style="71" customWidth="1"/>
    <col min="11516" max="11516" width="29.140625" style="71" customWidth="1"/>
    <col min="11517" max="11517" width="14.140625" style="71" customWidth="1"/>
    <col min="11518" max="11518" width="9.140625" style="71"/>
    <col min="11519" max="11519" width="10" style="71" customWidth="1"/>
    <col min="11520" max="11520" width="19.85546875" style="71" customWidth="1"/>
    <col min="11521" max="11521" width="12.28515625" style="71" customWidth="1"/>
    <col min="11522" max="11522" width="10" style="71" customWidth="1"/>
    <col min="11523" max="11523" width="10.140625" style="71" customWidth="1"/>
    <col min="11524" max="11524" width="10.28515625" style="71" customWidth="1"/>
    <col min="11525" max="11525" width="10.42578125" style="71" customWidth="1"/>
    <col min="11526" max="11527" width="10.85546875" style="71" customWidth="1"/>
    <col min="11528" max="11528" width="9.7109375" style="71" customWidth="1"/>
    <col min="11529" max="11529" width="12.85546875" style="71" customWidth="1"/>
    <col min="11530" max="11770" width="9.140625" style="71"/>
    <col min="11771" max="11771" width="4.5703125" style="71" customWidth="1"/>
    <col min="11772" max="11772" width="29.140625" style="71" customWidth="1"/>
    <col min="11773" max="11773" width="14.140625" style="71" customWidth="1"/>
    <col min="11774" max="11774" width="9.140625" style="71"/>
    <col min="11775" max="11775" width="10" style="71" customWidth="1"/>
    <col min="11776" max="11776" width="19.85546875" style="71" customWidth="1"/>
    <col min="11777" max="11777" width="12.28515625" style="71" customWidth="1"/>
    <col min="11778" max="11778" width="10" style="71" customWidth="1"/>
    <col min="11779" max="11779" width="10.140625" style="71" customWidth="1"/>
    <col min="11780" max="11780" width="10.28515625" style="71" customWidth="1"/>
    <col min="11781" max="11781" width="10.42578125" style="71" customWidth="1"/>
    <col min="11782" max="11783" width="10.85546875" style="71" customWidth="1"/>
    <col min="11784" max="11784" width="9.7109375" style="71" customWidth="1"/>
    <col min="11785" max="11785" width="12.85546875" style="71" customWidth="1"/>
    <col min="11786" max="12026" width="9.140625" style="71"/>
    <col min="12027" max="12027" width="4.5703125" style="71" customWidth="1"/>
    <col min="12028" max="12028" width="29.140625" style="71" customWidth="1"/>
    <col min="12029" max="12029" width="14.140625" style="71" customWidth="1"/>
    <col min="12030" max="12030" width="9.140625" style="71"/>
    <col min="12031" max="12031" width="10" style="71" customWidth="1"/>
    <col min="12032" max="12032" width="19.85546875" style="71" customWidth="1"/>
    <col min="12033" max="12033" width="12.28515625" style="71" customWidth="1"/>
    <col min="12034" max="12034" width="10" style="71" customWidth="1"/>
    <col min="12035" max="12035" width="10.140625" style="71" customWidth="1"/>
    <col min="12036" max="12036" width="10.28515625" style="71" customWidth="1"/>
    <col min="12037" max="12037" width="10.42578125" style="71" customWidth="1"/>
    <col min="12038" max="12039" width="10.85546875" style="71" customWidth="1"/>
    <col min="12040" max="12040" width="9.7109375" style="71" customWidth="1"/>
    <col min="12041" max="12041" width="12.85546875" style="71" customWidth="1"/>
    <col min="12042" max="12282" width="9.140625" style="71"/>
    <col min="12283" max="12283" width="4.5703125" style="71" customWidth="1"/>
    <col min="12284" max="12284" width="29.140625" style="71" customWidth="1"/>
    <col min="12285" max="12285" width="14.140625" style="71" customWidth="1"/>
    <col min="12286" max="12286" width="9.140625" style="71"/>
    <col min="12287" max="12287" width="10" style="71" customWidth="1"/>
    <col min="12288" max="12288" width="19.85546875" style="71" customWidth="1"/>
    <col min="12289" max="12289" width="12.28515625" style="71" customWidth="1"/>
    <col min="12290" max="12290" width="10" style="71" customWidth="1"/>
    <col min="12291" max="12291" width="10.140625" style="71" customWidth="1"/>
    <col min="12292" max="12292" width="10.28515625" style="71" customWidth="1"/>
    <col min="12293" max="12293" width="10.42578125" style="71" customWidth="1"/>
    <col min="12294" max="12295" width="10.85546875" style="71" customWidth="1"/>
    <col min="12296" max="12296" width="9.7109375" style="71" customWidth="1"/>
    <col min="12297" max="12297" width="12.85546875" style="71" customWidth="1"/>
    <col min="12298" max="12538" width="9.140625" style="71"/>
    <col min="12539" max="12539" width="4.5703125" style="71" customWidth="1"/>
    <col min="12540" max="12540" width="29.140625" style="71" customWidth="1"/>
    <col min="12541" max="12541" width="14.140625" style="71" customWidth="1"/>
    <col min="12542" max="12542" width="9.140625" style="71"/>
    <col min="12543" max="12543" width="10" style="71" customWidth="1"/>
    <col min="12544" max="12544" width="19.85546875" style="71" customWidth="1"/>
    <col min="12545" max="12545" width="12.28515625" style="71" customWidth="1"/>
    <col min="12546" max="12546" width="10" style="71" customWidth="1"/>
    <col min="12547" max="12547" width="10.140625" style="71" customWidth="1"/>
    <col min="12548" max="12548" width="10.28515625" style="71" customWidth="1"/>
    <col min="12549" max="12549" width="10.42578125" style="71" customWidth="1"/>
    <col min="12550" max="12551" width="10.85546875" style="71" customWidth="1"/>
    <col min="12552" max="12552" width="9.7109375" style="71" customWidth="1"/>
    <col min="12553" max="12553" width="12.85546875" style="71" customWidth="1"/>
    <col min="12554" max="12794" width="9.140625" style="71"/>
    <col min="12795" max="12795" width="4.5703125" style="71" customWidth="1"/>
    <col min="12796" max="12796" width="29.140625" style="71" customWidth="1"/>
    <col min="12797" max="12797" width="14.140625" style="71" customWidth="1"/>
    <col min="12798" max="12798" width="9.140625" style="71"/>
    <col min="12799" max="12799" width="10" style="71" customWidth="1"/>
    <col min="12800" max="12800" width="19.85546875" style="71" customWidth="1"/>
    <col min="12801" max="12801" width="12.28515625" style="71" customWidth="1"/>
    <col min="12802" max="12802" width="10" style="71" customWidth="1"/>
    <col min="12803" max="12803" width="10.140625" style="71" customWidth="1"/>
    <col min="12804" max="12804" width="10.28515625" style="71" customWidth="1"/>
    <col min="12805" max="12805" width="10.42578125" style="71" customWidth="1"/>
    <col min="12806" max="12807" width="10.85546875" style="71" customWidth="1"/>
    <col min="12808" max="12808" width="9.7109375" style="71" customWidth="1"/>
    <col min="12809" max="12809" width="12.85546875" style="71" customWidth="1"/>
    <col min="12810" max="13050" width="9.140625" style="71"/>
    <col min="13051" max="13051" width="4.5703125" style="71" customWidth="1"/>
    <col min="13052" max="13052" width="29.140625" style="71" customWidth="1"/>
    <col min="13053" max="13053" width="14.140625" style="71" customWidth="1"/>
    <col min="13054" max="13054" width="9.140625" style="71"/>
    <col min="13055" max="13055" width="10" style="71" customWidth="1"/>
    <col min="13056" max="13056" width="19.85546875" style="71" customWidth="1"/>
    <col min="13057" max="13057" width="12.28515625" style="71" customWidth="1"/>
    <col min="13058" max="13058" width="10" style="71" customWidth="1"/>
    <col min="13059" max="13059" width="10.140625" style="71" customWidth="1"/>
    <col min="13060" max="13060" width="10.28515625" style="71" customWidth="1"/>
    <col min="13061" max="13061" width="10.42578125" style="71" customWidth="1"/>
    <col min="13062" max="13063" width="10.85546875" style="71" customWidth="1"/>
    <col min="13064" max="13064" width="9.7109375" style="71" customWidth="1"/>
    <col min="13065" max="13065" width="12.85546875" style="71" customWidth="1"/>
    <col min="13066" max="13306" width="9.140625" style="71"/>
    <col min="13307" max="13307" width="4.5703125" style="71" customWidth="1"/>
    <col min="13308" max="13308" width="29.140625" style="71" customWidth="1"/>
    <col min="13309" max="13309" width="14.140625" style="71" customWidth="1"/>
    <col min="13310" max="13310" width="9.140625" style="71"/>
    <col min="13311" max="13311" width="10" style="71" customWidth="1"/>
    <col min="13312" max="13312" width="19.85546875" style="71" customWidth="1"/>
    <col min="13313" max="13313" width="12.28515625" style="71" customWidth="1"/>
    <col min="13314" max="13314" width="10" style="71" customWidth="1"/>
    <col min="13315" max="13315" width="10.140625" style="71" customWidth="1"/>
    <col min="13316" max="13316" width="10.28515625" style="71" customWidth="1"/>
    <col min="13317" max="13317" width="10.42578125" style="71" customWidth="1"/>
    <col min="13318" max="13319" width="10.85546875" style="71" customWidth="1"/>
    <col min="13320" max="13320" width="9.7109375" style="71" customWidth="1"/>
    <col min="13321" max="13321" width="12.85546875" style="71" customWidth="1"/>
    <col min="13322" max="13562" width="9.140625" style="71"/>
    <col min="13563" max="13563" width="4.5703125" style="71" customWidth="1"/>
    <col min="13564" max="13564" width="29.140625" style="71" customWidth="1"/>
    <col min="13565" max="13565" width="14.140625" style="71" customWidth="1"/>
    <col min="13566" max="13566" width="9.140625" style="71"/>
    <col min="13567" max="13567" width="10" style="71" customWidth="1"/>
    <col min="13568" max="13568" width="19.85546875" style="71" customWidth="1"/>
    <col min="13569" max="13569" width="12.28515625" style="71" customWidth="1"/>
    <col min="13570" max="13570" width="10" style="71" customWidth="1"/>
    <col min="13571" max="13571" width="10.140625" style="71" customWidth="1"/>
    <col min="13572" max="13572" width="10.28515625" style="71" customWidth="1"/>
    <col min="13573" max="13573" width="10.42578125" style="71" customWidth="1"/>
    <col min="13574" max="13575" width="10.85546875" style="71" customWidth="1"/>
    <col min="13576" max="13576" width="9.7109375" style="71" customWidth="1"/>
    <col min="13577" max="13577" width="12.85546875" style="71" customWidth="1"/>
    <col min="13578" max="13818" width="9.140625" style="71"/>
    <col min="13819" max="13819" width="4.5703125" style="71" customWidth="1"/>
    <col min="13820" max="13820" width="29.140625" style="71" customWidth="1"/>
    <col min="13821" max="13821" width="14.140625" style="71" customWidth="1"/>
    <col min="13822" max="13822" width="9.140625" style="71"/>
    <col min="13823" max="13823" width="10" style="71" customWidth="1"/>
    <col min="13824" max="13824" width="19.85546875" style="71" customWidth="1"/>
    <col min="13825" max="13825" width="12.28515625" style="71" customWidth="1"/>
    <col min="13826" max="13826" width="10" style="71" customWidth="1"/>
    <col min="13827" max="13827" width="10.140625" style="71" customWidth="1"/>
    <col min="13828" max="13828" width="10.28515625" style="71" customWidth="1"/>
    <col min="13829" max="13829" width="10.42578125" style="71" customWidth="1"/>
    <col min="13830" max="13831" width="10.85546875" style="71" customWidth="1"/>
    <col min="13832" max="13832" width="9.7109375" style="71" customWidth="1"/>
    <col min="13833" max="13833" width="12.85546875" style="71" customWidth="1"/>
    <col min="13834" max="14074" width="9.140625" style="71"/>
    <col min="14075" max="14075" width="4.5703125" style="71" customWidth="1"/>
    <col min="14076" max="14076" width="29.140625" style="71" customWidth="1"/>
    <col min="14077" max="14077" width="14.140625" style="71" customWidth="1"/>
    <col min="14078" max="14078" width="9.140625" style="71"/>
    <col min="14079" max="14079" width="10" style="71" customWidth="1"/>
    <col min="14080" max="14080" width="19.85546875" style="71" customWidth="1"/>
    <col min="14081" max="14081" width="12.28515625" style="71" customWidth="1"/>
    <col min="14082" max="14082" width="10" style="71" customWidth="1"/>
    <col min="14083" max="14083" width="10.140625" style="71" customWidth="1"/>
    <col min="14084" max="14084" width="10.28515625" style="71" customWidth="1"/>
    <col min="14085" max="14085" width="10.42578125" style="71" customWidth="1"/>
    <col min="14086" max="14087" width="10.85546875" style="71" customWidth="1"/>
    <col min="14088" max="14088" width="9.7109375" style="71" customWidth="1"/>
    <col min="14089" max="14089" width="12.85546875" style="71" customWidth="1"/>
    <col min="14090" max="14330" width="9.140625" style="71"/>
    <col min="14331" max="14331" width="4.5703125" style="71" customWidth="1"/>
    <col min="14332" max="14332" width="29.140625" style="71" customWidth="1"/>
    <col min="14333" max="14333" width="14.140625" style="71" customWidth="1"/>
    <col min="14334" max="14334" width="9.140625" style="71"/>
    <col min="14335" max="14335" width="10" style="71" customWidth="1"/>
    <col min="14336" max="14336" width="19.85546875" style="71" customWidth="1"/>
    <col min="14337" max="14337" width="12.28515625" style="71" customWidth="1"/>
    <col min="14338" max="14338" width="10" style="71" customWidth="1"/>
    <col min="14339" max="14339" width="10.140625" style="71" customWidth="1"/>
    <col min="14340" max="14340" width="10.28515625" style="71" customWidth="1"/>
    <col min="14341" max="14341" width="10.42578125" style="71" customWidth="1"/>
    <col min="14342" max="14343" width="10.85546875" style="71" customWidth="1"/>
    <col min="14344" max="14344" width="9.7109375" style="71" customWidth="1"/>
    <col min="14345" max="14345" width="12.85546875" style="71" customWidth="1"/>
    <col min="14346" max="14586" width="9.140625" style="71"/>
    <col min="14587" max="14587" width="4.5703125" style="71" customWidth="1"/>
    <col min="14588" max="14588" width="29.140625" style="71" customWidth="1"/>
    <col min="14589" max="14589" width="14.140625" style="71" customWidth="1"/>
    <col min="14590" max="14590" width="9.140625" style="71"/>
    <col min="14591" max="14591" width="10" style="71" customWidth="1"/>
    <col min="14592" max="14592" width="19.85546875" style="71" customWidth="1"/>
    <col min="14593" max="14593" width="12.28515625" style="71" customWidth="1"/>
    <col min="14594" max="14594" width="10" style="71" customWidth="1"/>
    <col min="14595" max="14595" width="10.140625" style="71" customWidth="1"/>
    <col min="14596" max="14596" width="10.28515625" style="71" customWidth="1"/>
    <col min="14597" max="14597" width="10.42578125" style="71" customWidth="1"/>
    <col min="14598" max="14599" width="10.85546875" style="71" customWidth="1"/>
    <col min="14600" max="14600" width="9.7109375" style="71" customWidth="1"/>
    <col min="14601" max="14601" width="12.85546875" style="71" customWidth="1"/>
    <col min="14602" max="14842" width="9.140625" style="71"/>
    <col min="14843" max="14843" width="4.5703125" style="71" customWidth="1"/>
    <col min="14844" max="14844" width="29.140625" style="71" customWidth="1"/>
    <col min="14845" max="14845" width="14.140625" style="71" customWidth="1"/>
    <col min="14846" max="14846" width="9.140625" style="71"/>
    <col min="14847" max="14847" width="10" style="71" customWidth="1"/>
    <col min="14848" max="14848" width="19.85546875" style="71" customWidth="1"/>
    <col min="14849" max="14849" width="12.28515625" style="71" customWidth="1"/>
    <col min="14850" max="14850" width="10" style="71" customWidth="1"/>
    <col min="14851" max="14851" width="10.140625" style="71" customWidth="1"/>
    <col min="14852" max="14852" width="10.28515625" style="71" customWidth="1"/>
    <col min="14853" max="14853" width="10.42578125" style="71" customWidth="1"/>
    <col min="14854" max="14855" width="10.85546875" style="71" customWidth="1"/>
    <col min="14856" max="14856" width="9.7109375" style="71" customWidth="1"/>
    <col min="14857" max="14857" width="12.85546875" style="71" customWidth="1"/>
    <col min="14858" max="15098" width="9.140625" style="71"/>
    <col min="15099" max="15099" width="4.5703125" style="71" customWidth="1"/>
    <col min="15100" max="15100" width="29.140625" style="71" customWidth="1"/>
    <col min="15101" max="15101" width="14.140625" style="71" customWidth="1"/>
    <col min="15102" max="15102" width="9.140625" style="71"/>
    <col min="15103" max="15103" width="10" style="71" customWidth="1"/>
    <col min="15104" max="15104" width="19.85546875" style="71" customWidth="1"/>
    <col min="15105" max="15105" width="12.28515625" style="71" customWidth="1"/>
    <col min="15106" max="15106" width="10" style="71" customWidth="1"/>
    <col min="15107" max="15107" width="10.140625" style="71" customWidth="1"/>
    <col min="15108" max="15108" width="10.28515625" style="71" customWidth="1"/>
    <col min="15109" max="15109" width="10.42578125" style="71" customWidth="1"/>
    <col min="15110" max="15111" width="10.85546875" style="71" customWidth="1"/>
    <col min="15112" max="15112" width="9.7109375" style="71" customWidth="1"/>
    <col min="15113" max="15113" width="12.85546875" style="71" customWidth="1"/>
    <col min="15114" max="15354" width="9.140625" style="71"/>
    <col min="15355" max="15355" width="4.5703125" style="71" customWidth="1"/>
    <col min="15356" max="15356" width="29.140625" style="71" customWidth="1"/>
    <col min="15357" max="15357" width="14.140625" style="71" customWidth="1"/>
    <col min="15358" max="15358" width="9.140625" style="71"/>
    <col min="15359" max="15359" width="10" style="71" customWidth="1"/>
    <col min="15360" max="15360" width="19.85546875" style="71" customWidth="1"/>
    <col min="15361" max="15361" width="12.28515625" style="71" customWidth="1"/>
    <col min="15362" max="15362" width="10" style="71" customWidth="1"/>
    <col min="15363" max="15363" width="10.140625" style="71" customWidth="1"/>
    <col min="15364" max="15364" width="10.28515625" style="71" customWidth="1"/>
    <col min="15365" max="15365" width="10.42578125" style="71" customWidth="1"/>
    <col min="15366" max="15367" width="10.85546875" style="71" customWidth="1"/>
    <col min="15368" max="15368" width="9.7109375" style="71" customWidth="1"/>
    <col min="15369" max="15369" width="12.85546875" style="71" customWidth="1"/>
    <col min="15370" max="15610" width="9.140625" style="71"/>
    <col min="15611" max="15611" width="4.5703125" style="71" customWidth="1"/>
    <col min="15612" max="15612" width="29.140625" style="71" customWidth="1"/>
    <col min="15613" max="15613" width="14.140625" style="71" customWidth="1"/>
    <col min="15614" max="15614" width="9.140625" style="71"/>
    <col min="15615" max="15615" width="10" style="71" customWidth="1"/>
    <col min="15616" max="15616" width="19.85546875" style="71" customWidth="1"/>
    <col min="15617" max="15617" width="12.28515625" style="71" customWidth="1"/>
    <col min="15618" max="15618" width="10" style="71" customWidth="1"/>
    <col min="15619" max="15619" width="10.140625" style="71" customWidth="1"/>
    <col min="15620" max="15620" width="10.28515625" style="71" customWidth="1"/>
    <col min="15621" max="15621" width="10.42578125" style="71" customWidth="1"/>
    <col min="15622" max="15623" width="10.85546875" style="71" customWidth="1"/>
    <col min="15624" max="15624" width="9.7109375" style="71" customWidth="1"/>
    <col min="15625" max="15625" width="12.85546875" style="71" customWidth="1"/>
    <col min="15626" max="15866" width="9.140625" style="71"/>
    <col min="15867" max="15867" width="4.5703125" style="71" customWidth="1"/>
    <col min="15868" max="15868" width="29.140625" style="71" customWidth="1"/>
    <col min="15869" max="15869" width="14.140625" style="71" customWidth="1"/>
    <col min="15870" max="15870" width="9.140625" style="71"/>
    <col min="15871" max="15871" width="10" style="71" customWidth="1"/>
    <col min="15872" max="15872" width="19.85546875" style="71" customWidth="1"/>
    <col min="15873" max="15873" width="12.28515625" style="71" customWidth="1"/>
    <col min="15874" max="15874" width="10" style="71" customWidth="1"/>
    <col min="15875" max="15875" width="10.140625" style="71" customWidth="1"/>
    <col min="15876" max="15876" width="10.28515625" style="71" customWidth="1"/>
    <col min="15877" max="15877" width="10.42578125" style="71" customWidth="1"/>
    <col min="15878" max="15879" width="10.85546875" style="71" customWidth="1"/>
    <col min="15880" max="15880" width="9.7109375" style="71" customWidth="1"/>
    <col min="15881" max="15881" width="12.85546875" style="71" customWidth="1"/>
    <col min="15882" max="16122" width="9.140625" style="71"/>
    <col min="16123" max="16123" width="4.5703125" style="71" customWidth="1"/>
    <col min="16124" max="16124" width="29.140625" style="71" customWidth="1"/>
    <col min="16125" max="16125" width="14.140625" style="71" customWidth="1"/>
    <col min="16126" max="16126" width="9.140625" style="71"/>
    <col min="16127" max="16127" width="10" style="71" customWidth="1"/>
    <col min="16128" max="16128" width="19.85546875" style="71" customWidth="1"/>
    <col min="16129" max="16129" width="12.28515625" style="71" customWidth="1"/>
    <col min="16130" max="16130" width="10" style="71" customWidth="1"/>
    <col min="16131" max="16131" width="10.140625" style="71" customWidth="1"/>
    <col min="16132" max="16132" width="10.28515625" style="71" customWidth="1"/>
    <col min="16133" max="16133" width="10.42578125" style="71" customWidth="1"/>
    <col min="16134" max="16135" width="10.85546875" style="71" customWidth="1"/>
    <col min="16136" max="16136" width="9.7109375" style="71" customWidth="1"/>
    <col min="16137" max="16137" width="12.85546875" style="71" customWidth="1"/>
    <col min="16138" max="16384" width="9.140625" style="71"/>
  </cols>
  <sheetData>
    <row r="1" spans="1:32" ht="72" customHeight="1" x14ac:dyDescent="0.25">
      <c r="I1" s="132"/>
      <c r="J1" s="132"/>
      <c r="K1" s="264" t="s">
        <v>287</v>
      </c>
      <c r="L1" s="264"/>
      <c r="M1" s="264"/>
      <c r="N1" s="264"/>
      <c r="O1" s="264"/>
      <c r="P1" s="264"/>
      <c r="Q1" s="264"/>
      <c r="R1" s="264"/>
      <c r="S1" s="264"/>
      <c r="T1" s="264"/>
      <c r="U1" s="264"/>
      <c r="V1" s="264"/>
      <c r="W1" s="264"/>
      <c r="X1" s="264"/>
      <c r="Y1" s="264"/>
      <c r="Z1" s="264"/>
      <c r="AA1" s="264"/>
      <c r="AB1" s="264"/>
      <c r="AC1" s="264"/>
      <c r="AD1" s="264"/>
      <c r="AE1" s="264"/>
      <c r="AF1" s="264"/>
    </row>
    <row r="2" spans="1:32" s="131" customFormat="1" ht="21.75" customHeight="1" x14ac:dyDescent="0.3">
      <c r="A2" s="265" t="s">
        <v>286</v>
      </c>
      <c r="B2" s="265"/>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row>
    <row r="3" spans="1:32" s="131" customFormat="1" ht="18.75" x14ac:dyDescent="0.3">
      <c r="A3" s="265" t="s">
        <v>285</v>
      </c>
      <c r="B3" s="265"/>
      <c r="C3" s="265"/>
      <c r="D3" s="265"/>
      <c r="E3" s="265"/>
      <c r="F3" s="265"/>
      <c r="G3" s="265"/>
      <c r="H3" s="265"/>
      <c r="I3" s="265"/>
      <c r="J3" s="265"/>
      <c r="K3" s="265"/>
      <c r="L3" s="265"/>
      <c r="M3" s="265"/>
      <c r="N3" s="265"/>
      <c r="O3" s="265"/>
      <c r="P3" s="265"/>
      <c r="Q3" s="265"/>
      <c r="R3" s="265"/>
      <c r="S3" s="265"/>
      <c r="T3" s="265"/>
      <c r="U3" s="265"/>
      <c r="V3" s="265"/>
      <c r="W3" s="265"/>
      <c r="X3" s="265"/>
      <c r="Y3" s="265"/>
      <c r="Z3" s="265"/>
      <c r="AA3" s="265"/>
      <c r="AB3" s="265"/>
      <c r="AC3" s="265"/>
      <c r="AD3" s="265"/>
      <c r="AE3" s="265"/>
      <c r="AF3" s="265"/>
    </row>
    <row r="4" spans="1:32" s="131" customFormat="1" ht="17.25" customHeight="1" x14ac:dyDescent="0.3">
      <c r="A4" s="265" t="s">
        <v>284</v>
      </c>
      <c r="B4" s="265"/>
      <c r="C4" s="265"/>
      <c r="D4" s="265"/>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row>
    <row r="5" spans="1:32" ht="5.25" customHeight="1" x14ac:dyDescent="0.25">
      <c r="A5" s="266"/>
      <c r="B5" s="266"/>
      <c r="C5" s="266"/>
      <c r="D5" s="266"/>
      <c r="E5" s="266"/>
      <c r="F5" s="266"/>
      <c r="G5" s="266"/>
      <c r="H5" s="266"/>
      <c r="I5" s="266"/>
      <c r="J5" s="266"/>
      <c r="K5" s="266"/>
      <c r="L5" s="266"/>
      <c r="M5" s="266"/>
      <c r="N5" s="266"/>
      <c r="O5" s="266"/>
      <c r="P5" s="266"/>
      <c r="Q5" s="266"/>
      <c r="R5" s="266"/>
      <c r="S5" s="266"/>
      <c r="T5" s="266"/>
      <c r="U5" s="266"/>
      <c r="V5" s="266"/>
      <c r="W5" s="266"/>
      <c r="X5" s="266"/>
      <c r="Y5" s="266"/>
      <c r="Z5" s="266"/>
      <c r="AA5" s="266"/>
      <c r="AB5" s="266"/>
      <c r="AC5" s="266"/>
      <c r="AD5" s="266"/>
      <c r="AE5" s="266"/>
      <c r="AF5" s="266"/>
    </row>
    <row r="6" spans="1:32" s="114" customFormat="1" ht="15" customHeight="1" x14ac:dyDescent="0.25">
      <c r="A6" s="214" t="s">
        <v>3</v>
      </c>
      <c r="B6" s="252" t="s">
        <v>283</v>
      </c>
      <c r="C6" s="214" t="s">
        <v>5</v>
      </c>
      <c r="D6" s="252" t="s">
        <v>282</v>
      </c>
      <c r="E6" s="214" t="s">
        <v>281</v>
      </c>
      <c r="F6" s="214" t="s">
        <v>280</v>
      </c>
      <c r="G6" s="214" t="s">
        <v>279</v>
      </c>
      <c r="H6" s="259" t="s">
        <v>278</v>
      </c>
      <c r="I6" s="260"/>
      <c r="J6" s="260"/>
      <c r="K6" s="260"/>
      <c r="L6" s="260"/>
      <c r="M6" s="260"/>
      <c r="N6" s="260"/>
      <c r="O6" s="260"/>
      <c r="P6" s="260"/>
      <c r="Q6" s="260"/>
      <c r="R6" s="260"/>
      <c r="S6" s="260"/>
      <c r="T6" s="260"/>
      <c r="U6" s="260"/>
      <c r="V6" s="260"/>
      <c r="W6" s="260"/>
      <c r="X6" s="260"/>
      <c r="Y6" s="260"/>
      <c r="Z6" s="260"/>
      <c r="AA6" s="260"/>
      <c r="AB6" s="260"/>
      <c r="AC6" s="260"/>
      <c r="AD6" s="260"/>
      <c r="AE6" s="261"/>
      <c r="AF6" s="214" t="s">
        <v>277</v>
      </c>
    </row>
    <row r="7" spans="1:32" s="114" customFormat="1" x14ac:dyDescent="0.25">
      <c r="A7" s="214"/>
      <c r="B7" s="252"/>
      <c r="C7" s="214"/>
      <c r="D7" s="252"/>
      <c r="E7" s="214"/>
      <c r="F7" s="214"/>
      <c r="G7" s="214"/>
      <c r="H7" s="262"/>
      <c r="I7" s="181"/>
      <c r="J7" s="181"/>
      <c r="K7" s="181"/>
      <c r="L7" s="181"/>
      <c r="M7" s="181"/>
      <c r="N7" s="181"/>
      <c r="O7" s="181"/>
      <c r="P7" s="181"/>
      <c r="Q7" s="181"/>
      <c r="R7" s="181"/>
      <c r="S7" s="181"/>
      <c r="T7" s="181"/>
      <c r="U7" s="181"/>
      <c r="V7" s="181"/>
      <c r="W7" s="181"/>
      <c r="X7" s="181"/>
      <c r="Y7" s="181"/>
      <c r="Z7" s="181"/>
      <c r="AA7" s="181"/>
      <c r="AB7" s="181"/>
      <c r="AC7" s="181"/>
      <c r="AD7" s="181"/>
      <c r="AE7" s="263"/>
      <c r="AF7" s="214"/>
    </row>
    <row r="8" spans="1:32" s="114" customFormat="1" ht="15" customHeight="1" x14ac:dyDescent="0.25">
      <c r="A8" s="214"/>
      <c r="B8" s="252"/>
      <c r="C8" s="214"/>
      <c r="D8" s="252"/>
      <c r="E8" s="214"/>
      <c r="F8" s="214"/>
      <c r="G8" s="214"/>
      <c r="H8" s="214" t="s">
        <v>13</v>
      </c>
      <c r="I8" s="214"/>
      <c r="J8" s="214" t="s">
        <v>14</v>
      </c>
      <c r="K8" s="214"/>
      <c r="L8" s="214" t="s">
        <v>276</v>
      </c>
      <c r="M8" s="214"/>
      <c r="N8" s="214" t="s">
        <v>275</v>
      </c>
      <c r="O8" s="214"/>
      <c r="P8" s="214" t="s">
        <v>17</v>
      </c>
      <c r="Q8" s="214"/>
      <c r="R8" s="214" t="s">
        <v>18</v>
      </c>
      <c r="S8" s="214"/>
      <c r="T8" s="214" t="s">
        <v>19</v>
      </c>
      <c r="U8" s="214"/>
      <c r="V8" s="214" t="s">
        <v>20</v>
      </c>
      <c r="W8" s="214"/>
      <c r="X8" s="246" t="s">
        <v>21</v>
      </c>
      <c r="Y8" s="230"/>
      <c r="Z8" s="246" t="s">
        <v>274</v>
      </c>
      <c r="AA8" s="230"/>
      <c r="AB8" s="246" t="s">
        <v>273</v>
      </c>
      <c r="AC8" s="230"/>
      <c r="AD8" s="246" t="s">
        <v>272</v>
      </c>
      <c r="AE8" s="230"/>
      <c r="AF8" s="214"/>
    </row>
    <row r="9" spans="1:32" s="114" customFormat="1" ht="60" customHeight="1" x14ac:dyDescent="0.25">
      <c r="A9" s="214"/>
      <c r="B9" s="252"/>
      <c r="C9" s="214"/>
      <c r="D9" s="252"/>
      <c r="E9" s="214"/>
      <c r="F9" s="214"/>
      <c r="G9" s="214"/>
      <c r="H9" s="159" t="s">
        <v>270</v>
      </c>
      <c r="I9" s="159" t="s">
        <v>271</v>
      </c>
      <c r="J9" s="159" t="s">
        <v>270</v>
      </c>
      <c r="K9" s="159" t="s">
        <v>271</v>
      </c>
      <c r="L9" s="159" t="s">
        <v>270</v>
      </c>
      <c r="M9" s="159" t="s">
        <v>271</v>
      </c>
      <c r="N9" s="159" t="s">
        <v>270</v>
      </c>
      <c r="O9" s="159" t="s">
        <v>269</v>
      </c>
      <c r="P9" s="159" t="s">
        <v>270</v>
      </c>
      <c r="Q9" s="159" t="s">
        <v>269</v>
      </c>
      <c r="R9" s="159" t="s">
        <v>270</v>
      </c>
      <c r="S9" s="159" t="s">
        <v>269</v>
      </c>
      <c r="T9" s="159" t="s">
        <v>270</v>
      </c>
      <c r="U9" s="159" t="s">
        <v>269</v>
      </c>
      <c r="V9" s="159" t="s">
        <v>270</v>
      </c>
      <c r="W9" s="159" t="s">
        <v>269</v>
      </c>
      <c r="X9" s="159" t="s">
        <v>270</v>
      </c>
      <c r="Y9" s="159" t="s">
        <v>269</v>
      </c>
      <c r="Z9" s="159" t="s">
        <v>270</v>
      </c>
      <c r="AA9" s="159" t="s">
        <v>269</v>
      </c>
      <c r="AB9" s="159" t="s">
        <v>270</v>
      </c>
      <c r="AC9" s="159" t="s">
        <v>269</v>
      </c>
      <c r="AD9" s="159" t="s">
        <v>270</v>
      </c>
      <c r="AE9" s="159" t="s">
        <v>269</v>
      </c>
      <c r="AF9" s="214"/>
    </row>
    <row r="10" spans="1:32" s="130" customFormat="1" ht="12.75" customHeight="1" x14ac:dyDescent="0.25">
      <c r="A10" s="159">
        <v>1</v>
      </c>
      <c r="B10" s="159">
        <v>2</v>
      </c>
      <c r="C10" s="159">
        <v>3</v>
      </c>
      <c r="D10" s="159">
        <v>4</v>
      </c>
      <c r="E10" s="159">
        <v>5</v>
      </c>
      <c r="F10" s="159">
        <v>6</v>
      </c>
      <c r="G10" s="159">
        <v>7</v>
      </c>
      <c r="H10" s="159">
        <v>8</v>
      </c>
      <c r="I10" s="159">
        <v>9</v>
      </c>
      <c r="J10" s="159">
        <v>10</v>
      </c>
      <c r="K10" s="159">
        <v>11</v>
      </c>
      <c r="L10" s="159">
        <v>12</v>
      </c>
      <c r="M10" s="159">
        <v>13</v>
      </c>
      <c r="N10" s="159">
        <v>14</v>
      </c>
      <c r="O10" s="159">
        <v>15</v>
      </c>
      <c r="P10" s="159">
        <v>16</v>
      </c>
      <c r="Q10" s="159">
        <v>17</v>
      </c>
      <c r="R10" s="159">
        <v>18</v>
      </c>
      <c r="S10" s="159">
        <v>19</v>
      </c>
      <c r="T10" s="159">
        <v>20</v>
      </c>
      <c r="U10" s="159">
        <v>21</v>
      </c>
      <c r="V10" s="159">
        <v>22</v>
      </c>
      <c r="W10" s="159">
        <v>23</v>
      </c>
      <c r="X10" s="159">
        <v>24</v>
      </c>
      <c r="Y10" s="159">
        <v>25</v>
      </c>
      <c r="Z10" s="159">
        <v>26</v>
      </c>
      <c r="AA10" s="159">
        <v>27</v>
      </c>
      <c r="AB10" s="159">
        <v>28</v>
      </c>
      <c r="AC10" s="159">
        <v>29</v>
      </c>
      <c r="AD10" s="159">
        <v>30</v>
      </c>
      <c r="AE10" s="159">
        <v>31</v>
      </c>
      <c r="AF10" s="159">
        <v>32</v>
      </c>
    </row>
    <row r="11" spans="1:32" s="114" customFormat="1" ht="21.75" customHeight="1" x14ac:dyDescent="0.25">
      <c r="A11" s="159">
        <v>1</v>
      </c>
      <c r="B11" s="228" t="s">
        <v>268</v>
      </c>
      <c r="C11" s="228"/>
      <c r="D11" s="228"/>
      <c r="E11" s="228"/>
      <c r="F11" s="228"/>
      <c r="G11" s="228"/>
      <c r="H11" s="228"/>
      <c r="I11" s="228"/>
      <c r="J11" s="228"/>
      <c r="K11" s="228"/>
      <c r="L11" s="228"/>
      <c r="M11" s="228"/>
      <c r="N11" s="228"/>
      <c r="O11" s="228"/>
      <c r="P11" s="228"/>
      <c r="Q11" s="228"/>
      <c r="R11" s="228"/>
      <c r="S11" s="228"/>
      <c r="T11" s="228"/>
      <c r="U11" s="228"/>
      <c r="V11" s="228"/>
      <c r="W11" s="228"/>
      <c r="X11" s="228"/>
      <c r="Y11" s="228"/>
      <c r="Z11" s="228"/>
      <c r="AA11" s="228"/>
      <c r="AB11" s="228"/>
      <c r="AC11" s="228"/>
      <c r="AD11" s="228"/>
      <c r="AE11" s="228"/>
      <c r="AF11" s="228"/>
    </row>
    <row r="12" spans="1:32" s="114" customFormat="1" ht="200.25" customHeight="1" x14ac:dyDescent="0.25">
      <c r="A12" s="88">
        <v>2</v>
      </c>
      <c r="B12" s="160" t="s">
        <v>267</v>
      </c>
      <c r="C12" s="159" t="s">
        <v>266</v>
      </c>
      <c r="D12" s="163" t="s">
        <v>265</v>
      </c>
      <c r="E12" s="159" t="s">
        <v>127</v>
      </c>
      <c r="F12" s="159">
        <v>100</v>
      </c>
      <c r="G12" s="159">
        <v>100</v>
      </c>
      <c r="H12" s="159">
        <v>69.5</v>
      </c>
      <c r="I12" s="159">
        <v>34.75</v>
      </c>
      <c r="J12" s="159">
        <v>100</v>
      </c>
      <c r="K12" s="159">
        <v>100</v>
      </c>
      <c r="L12" s="159">
        <v>100</v>
      </c>
      <c r="M12" s="159">
        <v>100</v>
      </c>
      <c r="N12" s="159">
        <v>100</v>
      </c>
      <c r="O12" s="159">
        <v>100</v>
      </c>
      <c r="P12" s="159">
        <v>100</v>
      </c>
      <c r="Q12" s="159">
        <v>100</v>
      </c>
      <c r="R12" s="159">
        <v>100</v>
      </c>
      <c r="S12" s="159">
        <v>100</v>
      </c>
      <c r="T12" s="159">
        <v>100</v>
      </c>
      <c r="U12" s="159">
        <v>100</v>
      </c>
      <c r="V12" s="159">
        <v>100</v>
      </c>
      <c r="W12" s="159">
        <v>100</v>
      </c>
      <c r="X12" s="159">
        <v>100</v>
      </c>
      <c r="Y12" s="159">
        <v>100</v>
      </c>
      <c r="Z12" s="159">
        <v>100</v>
      </c>
      <c r="AA12" s="159">
        <v>100</v>
      </c>
      <c r="AB12" s="159">
        <v>100</v>
      </c>
      <c r="AC12" s="159">
        <v>100</v>
      </c>
      <c r="AD12" s="159">
        <v>100</v>
      </c>
      <c r="AE12" s="159">
        <v>100</v>
      </c>
      <c r="AF12" s="159">
        <v>100</v>
      </c>
    </row>
    <row r="13" spans="1:32" s="114" customFormat="1" ht="58.5" customHeight="1" x14ac:dyDescent="0.25">
      <c r="A13" s="88">
        <v>3</v>
      </c>
      <c r="B13" s="163" t="s">
        <v>264</v>
      </c>
      <c r="C13" s="159" t="s">
        <v>33</v>
      </c>
      <c r="D13" s="163" t="s">
        <v>263</v>
      </c>
      <c r="E13" s="159" t="s">
        <v>127</v>
      </c>
      <c r="F13" s="159">
        <v>100</v>
      </c>
      <c r="G13" s="159">
        <v>100</v>
      </c>
      <c r="H13" s="159">
        <v>98.64</v>
      </c>
      <c r="I13" s="129">
        <v>49.32</v>
      </c>
      <c r="J13" s="159">
        <v>100</v>
      </c>
      <c r="K13" s="159">
        <v>100</v>
      </c>
      <c r="L13" s="159">
        <v>100</v>
      </c>
      <c r="M13" s="159">
        <v>100</v>
      </c>
      <c r="N13" s="159">
        <v>100</v>
      </c>
      <c r="O13" s="159">
        <v>100</v>
      </c>
      <c r="P13" s="129">
        <f>P14/243.65%</f>
        <v>90.970654627539503</v>
      </c>
      <c r="Q13" s="129">
        <f>Q14/243.65%</f>
        <v>90.970654627539503</v>
      </c>
      <c r="R13" s="129">
        <v>91.35</v>
      </c>
      <c r="S13" s="129">
        <v>91.35</v>
      </c>
      <c r="T13" s="129">
        <f t="shared" ref="T13:Y13" si="0">T14/243.65%</f>
        <v>90.970654627539503</v>
      </c>
      <c r="U13" s="129">
        <f t="shared" si="0"/>
        <v>90.970654627539503</v>
      </c>
      <c r="V13" s="129">
        <f t="shared" si="0"/>
        <v>90.970654627539503</v>
      </c>
      <c r="W13" s="129">
        <f t="shared" si="0"/>
        <v>90.970654627539503</v>
      </c>
      <c r="X13" s="129">
        <f t="shared" si="0"/>
        <v>90.970654627539503</v>
      </c>
      <c r="Y13" s="129">
        <f t="shared" si="0"/>
        <v>90.970654627539503</v>
      </c>
      <c r="Z13" s="129">
        <v>90.97</v>
      </c>
      <c r="AA13" s="129">
        <v>90.97</v>
      </c>
      <c r="AB13" s="129">
        <v>90.97</v>
      </c>
      <c r="AC13" s="129">
        <v>90.97</v>
      </c>
      <c r="AD13" s="129">
        <v>90.97</v>
      </c>
      <c r="AE13" s="129">
        <v>90.97</v>
      </c>
      <c r="AF13" s="129">
        <f>AF14/243.65%</f>
        <v>90.970654627539503</v>
      </c>
    </row>
    <row r="14" spans="1:32" s="114" customFormat="1" ht="56.25" customHeight="1" x14ac:dyDescent="0.25">
      <c r="A14" s="88">
        <v>4</v>
      </c>
      <c r="B14" s="160" t="s">
        <v>262</v>
      </c>
      <c r="C14" s="159" t="s">
        <v>33</v>
      </c>
      <c r="D14" s="160" t="s">
        <v>261</v>
      </c>
      <c r="E14" s="159" t="s">
        <v>256</v>
      </c>
      <c r="F14" s="159">
        <v>640.35</v>
      </c>
      <c r="G14" s="159">
        <v>645.35</v>
      </c>
      <c r="H14" s="159">
        <v>650.35</v>
      </c>
      <c r="I14" s="159">
        <v>650.35</v>
      </c>
      <c r="J14" s="159">
        <v>660.35</v>
      </c>
      <c r="K14" s="159">
        <v>660.35</v>
      </c>
      <c r="L14" s="159">
        <f>670.35</f>
        <v>670.35</v>
      </c>
      <c r="M14" s="159">
        <v>670.35</v>
      </c>
      <c r="N14" s="159">
        <v>670.35</v>
      </c>
      <c r="O14" s="159">
        <f>N14</f>
        <v>670.35</v>
      </c>
      <c r="P14" s="129">
        <v>221.65</v>
      </c>
      <c r="Q14" s="129">
        <f>P14</f>
        <v>221.65</v>
      </c>
      <c r="R14" s="129">
        <v>222.57</v>
      </c>
      <c r="S14" s="129">
        <f>R14</f>
        <v>222.57</v>
      </c>
      <c r="T14" s="129">
        <f>P14+T16</f>
        <v>221.65</v>
      </c>
      <c r="U14" s="129">
        <f>T14</f>
        <v>221.65</v>
      </c>
      <c r="V14" s="129">
        <f>T14+V16</f>
        <v>221.65</v>
      </c>
      <c r="W14" s="129">
        <f>V14</f>
        <v>221.65</v>
      </c>
      <c r="X14" s="129">
        <f>W14</f>
        <v>221.65</v>
      </c>
      <c r="Y14" s="129">
        <f>X14</f>
        <v>221.65</v>
      </c>
      <c r="Z14" s="129">
        <f>Y14</f>
        <v>221.65</v>
      </c>
      <c r="AA14" s="129">
        <f>Z14</f>
        <v>221.65</v>
      </c>
      <c r="AB14" s="129">
        <v>221.65</v>
      </c>
      <c r="AC14" s="129">
        <v>221.65</v>
      </c>
      <c r="AD14" s="129">
        <v>221.65</v>
      </c>
      <c r="AE14" s="129">
        <v>221.65</v>
      </c>
      <c r="AF14" s="129">
        <f>V14</f>
        <v>221.65</v>
      </c>
    </row>
    <row r="15" spans="1:32" s="114" customFormat="1" ht="81" customHeight="1" x14ac:dyDescent="0.25">
      <c r="A15" s="88">
        <v>5</v>
      </c>
      <c r="B15" s="163" t="s">
        <v>260</v>
      </c>
      <c r="C15" s="159" t="s">
        <v>33</v>
      </c>
      <c r="D15" s="160" t="s">
        <v>259</v>
      </c>
      <c r="E15" s="159" t="s">
        <v>133</v>
      </c>
      <c r="F15" s="159">
        <v>9</v>
      </c>
      <c r="G15" s="159">
        <v>10</v>
      </c>
      <c r="H15" s="159">
        <v>10</v>
      </c>
      <c r="I15" s="159">
        <v>10</v>
      </c>
      <c r="J15" s="159">
        <v>10</v>
      </c>
      <c r="K15" s="159">
        <v>10</v>
      </c>
      <c r="L15" s="159">
        <v>10</v>
      </c>
      <c r="M15" s="159">
        <v>10</v>
      </c>
      <c r="N15" s="159">
        <v>10</v>
      </c>
      <c r="O15" s="159">
        <v>10</v>
      </c>
      <c r="P15" s="159">
        <v>10</v>
      </c>
      <c r="Q15" s="159">
        <v>10</v>
      </c>
      <c r="R15" s="159">
        <v>10</v>
      </c>
      <c r="S15" s="159">
        <v>10</v>
      </c>
      <c r="T15" s="159">
        <v>10</v>
      </c>
      <c r="U15" s="159">
        <v>10</v>
      </c>
      <c r="V15" s="159">
        <v>10</v>
      </c>
      <c r="W15" s="159">
        <v>10</v>
      </c>
      <c r="X15" s="159">
        <v>10</v>
      </c>
      <c r="Y15" s="159">
        <v>10</v>
      </c>
      <c r="Z15" s="159">
        <v>10</v>
      </c>
      <c r="AA15" s="159">
        <v>10</v>
      </c>
      <c r="AB15" s="159">
        <v>10</v>
      </c>
      <c r="AC15" s="159">
        <v>10</v>
      </c>
      <c r="AD15" s="159">
        <v>10</v>
      </c>
      <c r="AE15" s="159">
        <v>10</v>
      </c>
      <c r="AF15" s="159">
        <v>10</v>
      </c>
    </row>
    <row r="16" spans="1:32" s="114" customFormat="1" ht="58.5" customHeight="1" x14ac:dyDescent="0.25">
      <c r="A16" s="88">
        <v>6</v>
      </c>
      <c r="B16" s="90" t="s">
        <v>258</v>
      </c>
      <c r="C16" s="127" t="s">
        <v>33</v>
      </c>
      <c r="D16" s="90" t="s">
        <v>257</v>
      </c>
      <c r="E16" s="103" t="s">
        <v>256</v>
      </c>
      <c r="F16" s="89">
        <v>2</v>
      </c>
      <c r="G16" s="89">
        <v>5</v>
      </c>
      <c r="H16" s="126">
        <v>2.5</v>
      </c>
      <c r="I16" s="125">
        <v>0</v>
      </c>
      <c r="J16" s="124">
        <v>0</v>
      </c>
      <c r="K16" s="125">
        <v>0</v>
      </c>
      <c r="L16" s="125">
        <v>0</v>
      </c>
      <c r="M16" s="125">
        <v>0</v>
      </c>
      <c r="N16" s="125">
        <v>0</v>
      </c>
      <c r="O16" s="125">
        <v>0</v>
      </c>
      <c r="P16" s="125">
        <v>0</v>
      </c>
      <c r="Q16" s="125">
        <v>0</v>
      </c>
      <c r="R16" s="125">
        <v>0.92</v>
      </c>
      <c r="S16" s="125">
        <v>0</v>
      </c>
      <c r="T16" s="125">
        <v>0</v>
      </c>
      <c r="U16" s="125">
        <v>0</v>
      </c>
      <c r="V16" s="125">
        <v>0</v>
      </c>
      <c r="W16" s="125">
        <v>0</v>
      </c>
      <c r="X16" s="125">
        <v>0</v>
      </c>
      <c r="Y16" s="125">
        <v>0</v>
      </c>
      <c r="Z16" s="125">
        <v>0</v>
      </c>
      <c r="AA16" s="125">
        <v>0</v>
      </c>
      <c r="AB16" s="125">
        <v>0</v>
      </c>
      <c r="AC16" s="125">
        <v>0</v>
      </c>
      <c r="AD16" s="125">
        <v>0</v>
      </c>
      <c r="AE16" s="125">
        <v>0</v>
      </c>
      <c r="AF16" s="129">
        <f>SUM(H16,J16,L16,N16,P16,R16,T16,V16)</f>
        <v>3.42</v>
      </c>
    </row>
    <row r="17" spans="1:32" s="114" customFormat="1" ht="61.5" customHeight="1" x14ac:dyDescent="0.25">
      <c r="A17" s="88">
        <v>7</v>
      </c>
      <c r="B17" s="128" t="s">
        <v>255</v>
      </c>
      <c r="C17" s="127" t="s">
        <v>33</v>
      </c>
      <c r="D17" s="90" t="s">
        <v>254</v>
      </c>
      <c r="E17" s="103" t="s">
        <v>253</v>
      </c>
      <c r="F17" s="89" t="s">
        <v>26</v>
      </c>
      <c r="G17" s="89" t="s">
        <v>26</v>
      </c>
      <c r="H17" s="126" t="s">
        <v>26</v>
      </c>
      <c r="I17" s="125" t="s">
        <v>26</v>
      </c>
      <c r="J17" s="124" t="s">
        <v>26</v>
      </c>
      <c r="K17" s="125" t="s">
        <v>26</v>
      </c>
      <c r="L17" s="125" t="s">
        <v>26</v>
      </c>
      <c r="M17" s="125" t="s">
        <v>26</v>
      </c>
      <c r="N17" s="125" t="s">
        <v>26</v>
      </c>
      <c r="O17" s="125" t="s">
        <v>26</v>
      </c>
      <c r="P17" s="125" t="s">
        <v>26</v>
      </c>
      <c r="Q17" s="125" t="s">
        <v>26</v>
      </c>
      <c r="R17" s="125" t="s">
        <v>26</v>
      </c>
      <c r="S17" s="124" t="s">
        <v>26</v>
      </c>
      <c r="T17" s="124">
        <v>2</v>
      </c>
      <c r="U17" s="124">
        <f>T17/2</f>
        <v>1</v>
      </c>
      <c r="V17" s="124">
        <v>41</v>
      </c>
      <c r="W17" s="124">
        <v>0</v>
      </c>
      <c r="X17" s="125">
        <v>9</v>
      </c>
      <c r="Y17" s="124">
        <v>0</v>
      </c>
      <c r="Z17" s="124">
        <v>0</v>
      </c>
      <c r="AA17" s="124">
        <v>0</v>
      </c>
      <c r="AB17" s="124">
        <v>0</v>
      </c>
      <c r="AC17" s="124">
        <v>0</v>
      </c>
      <c r="AD17" s="124">
        <v>0</v>
      </c>
      <c r="AE17" s="124">
        <v>0</v>
      </c>
      <c r="AF17" s="112">
        <f>T17+V17+X17+Z17+AB17</f>
        <v>52</v>
      </c>
    </row>
    <row r="18" spans="1:32" s="114" customFormat="1" ht="57.75" customHeight="1" x14ac:dyDescent="0.25">
      <c r="A18" s="88">
        <v>8</v>
      </c>
      <c r="B18" s="160" t="s">
        <v>252</v>
      </c>
      <c r="C18" s="91" t="s">
        <v>53</v>
      </c>
      <c r="D18" s="90" t="s">
        <v>251</v>
      </c>
      <c r="E18" s="103" t="s">
        <v>127</v>
      </c>
      <c r="F18" s="89">
        <v>100</v>
      </c>
      <c r="G18" s="89">
        <v>100</v>
      </c>
      <c r="H18" s="94">
        <v>100</v>
      </c>
      <c r="I18" s="122">
        <v>100</v>
      </c>
      <c r="J18" s="123">
        <v>100</v>
      </c>
      <c r="K18" s="122">
        <v>100</v>
      </c>
      <c r="L18" s="122">
        <v>100</v>
      </c>
      <c r="M18" s="122">
        <v>100</v>
      </c>
      <c r="N18" s="122">
        <v>100</v>
      </c>
      <c r="O18" s="122">
        <v>100</v>
      </c>
      <c r="P18" s="122">
        <v>100</v>
      </c>
      <c r="Q18" s="122">
        <v>100</v>
      </c>
      <c r="R18" s="122">
        <v>100</v>
      </c>
      <c r="S18" s="122">
        <v>100</v>
      </c>
      <c r="T18" s="122">
        <v>100</v>
      </c>
      <c r="U18" s="122">
        <v>100</v>
      </c>
      <c r="V18" s="122">
        <v>100</v>
      </c>
      <c r="W18" s="122">
        <v>100</v>
      </c>
      <c r="X18" s="122">
        <v>100</v>
      </c>
      <c r="Y18" s="122">
        <v>100</v>
      </c>
      <c r="Z18" s="122">
        <v>100</v>
      </c>
      <c r="AA18" s="122">
        <v>100</v>
      </c>
      <c r="AB18" s="122">
        <v>100</v>
      </c>
      <c r="AC18" s="122">
        <v>100</v>
      </c>
      <c r="AD18" s="122">
        <v>100</v>
      </c>
      <c r="AE18" s="122">
        <v>100</v>
      </c>
      <c r="AF18" s="122">
        <v>100</v>
      </c>
    </row>
    <row r="19" spans="1:32" s="114" customFormat="1" ht="45.75" customHeight="1" x14ac:dyDescent="0.25">
      <c r="A19" s="88">
        <v>9</v>
      </c>
      <c r="B19" s="160" t="s">
        <v>250</v>
      </c>
      <c r="C19" s="91" t="s">
        <v>53</v>
      </c>
      <c r="D19" s="160" t="s">
        <v>249</v>
      </c>
      <c r="E19" s="159" t="s">
        <v>127</v>
      </c>
      <c r="F19" s="159">
        <v>15</v>
      </c>
      <c r="G19" s="159">
        <v>15</v>
      </c>
      <c r="H19" s="159">
        <v>15</v>
      </c>
      <c r="I19" s="159">
        <v>7</v>
      </c>
      <c r="J19" s="159">
        <v>15</v>
      </c>
      <c r="K19" s="159">
        <v>7</v>
      </c>
      <c r="L19" s="159">
        <v>15</v>
      </c>
      <c r="M19" s="159">
        <v>7</v>
      </c>
      <c r="N19" s="159">
        <v>15</v>
      </c>
      <c r="O19" s="159">
        <v>7</v>
      </c>
      <c r="P19" s="159">
        <v>15</v>
      </c>
      <c r="Q19" s="159">
        <v>7</v>
      </c>
      <c r="R19" s="159">
        <v>15</v>
      </c>
      <c r="S19" s="159">
        <v>7</v>
      </c>
      <c r="T19" s="159">
        <v>15</v>
      </c>
      <c r="U19" s="159">
        <v>7</v>
      </c>
      <c r="V19" s="159">
        <v>15</v>
      </c>
      <c r="W19" s="159">
        <v>7</v>
      </c>
      <c r="X19" s="159">
        <v>15</v>
      </c>
      <c r="Y19" s="159">
        <v>7</v>
      </c>
      <c r="Z19" s="159">
        <v>15</v>
      </c>
      <c r="AA19" s="159">
        <v>7</v>
      </c>
      <c r="AB19" s="159">
        <v>15</v>
      </c>
      <c r="AC19" s="159">
        <v>7</v>
      </c>
      <c r="AD19" s="159">
        <v>15</v>
      </c>
      <c r="AE19" s="159">
        <v>7</v>
      </c>
      <c r="AF19" s="162">
        <v>15</v>
      </c>
    </row>
    <row r="20" spans="1:32" s="114" customFormat="1" ht="41.25" customHeight="1" x14ac:dyDescent="0.25">
      <c r="A20" s="214">
        <v>10</v>
      </c>
      <c r="B20" s="215" t="s">
        <v>248</v>
      </c>
      <c r="C20" s="159" t="s">
        <v>199</v>
      </c>
      <c r="D20" s="215" t="s">
        <v>247</v>
      </c>
      <c r="E20" s="159" t="s">
        <v>133</v>
      </c>
      <c r="F20" s="159">
        <v>300</v>
      </c>
      <c r="G20" s="159">
        <v>300</v>
      </c>
      <c r="H20" s="159">
        <f t="shared" ref="H20:AC20" si="1">H22+H23+H24+H25</f>
        <v>306</v>
      </c>
      <c r="I20" s="159">
        <f t="shared" si="1"/>
        <v>150</v>
      </c>
      <c r="J20" s="159">
        <f t="shared" si="1"/>
        <v>593</v>
      </c>
      <c r="K20" s="159">
        <f t="shared" si="1"/>
        <v>325</v>
      </c>
      <c r="L20" s="159">
        <f t="shared" si="1"/>
        <v>561</v>
      </c>
      <c r="M20" s="159">
        <f t="shared" si="1"/>
        <v>216</v>
      </c>
      <c r="N20" s="159">
        <f t="shared" si="1"/>
        <v>653</v>
      </c>
      <c r="O20" s="159">
        <f t="shared" si="1"/>
        <v>175</v>
      </c>
      <c r="P20" s="159">
        <f t="shared" si="1"/>
        <v>1879</v>
      </c>
      <c r="Q20" s="159">
        <f t="shared" si="1"/>
        <v>901</v>
      </c>
      <c r="R20" s="159">
        <f t="shared" si="1"/>
        <v>618</v>
      </c>
      <c r="S20" s="159">
        <f t="shared" si="1"/>
        <v>308</v>
      </c>
      <c r="T20" s="159">
        <f t="shared" si="1"/>
        <v>952</v>
      </c>
      <c r="U20" s="159">
        <f t="shared" si="1"/>
        <v>515</v>
      </c>
      <c r="V20" s="159">
        <f t="shared" si="1"/>
        <v>1190</v>
      </c>
      <c r="W20" s="159">
        <f t="shared" si="1"/>
        <v>577</v>
      </c>
      <c r="X20" s="159">
        <f t="shared" si="1"/>
        <v>462</v>
      </c>
      <c r="Y20" s="159">
        <f t="shared" si="1"/>
        <v>228</v>
      </c>
      <c r="Z20" s="159">
        <f t="shared" si="1"/>
        <v>445</v>
      </c>
      <c r="AA20" s="159">
        <f t="shared" si="1"/>
        <v>224</v>
      </c>
      <c r="AB20" s="159">
        <f t="shared" si="1"/>
        <v>435</v>
      </c>
      <c r="AC20" s="159">
        <f t="shared" si="1"/>
        <v>219</v>
      </c>
      <c r="AD20" s="159">
        <f>SUM(AD22:AD25)</f>
        <v>435</v>
      </c>
      <c r="AE20" s="159">
        <f>SUM(AE22:AE25)</f>
        <v>219</v>
      </c>
      <c r="AF20" s="159">
        <f>AD20+AB20+Z20+X20+V20+T20+R20+P20+N20+L20+J20+H20</f>
        <v>8529</v>
      </c>
    </row>
    <row r="21" spans="1:32" s="114" customFormat="1" x14ac:dyDescent="0.25">
      <c r="A21" s="214"/>
      <c r="B21" s="215"/>
      <c r="C21" s="159" t="s">
        <v>41</v>
      </c>
      <c r="D21" s="215"/>
      <c r="E21" s="214"/>
      <c r="F21" s="214"/>
      <c r="G21" s="214"/>
      <c r="H21" s="214"/>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row>
    <row r="22" spans="1:32" s="114" customFormat="1" ht="34.5" customHeight="1" x14ac:dyDescent="0.25">
      <c r="A22" s="214"/>
      <c r="B22" s="215"/>
      <c r="C22" s="159" t="s">
        <v>92</v>
      </c>
      <c r="D22" s="215"/>
      <c r="E22" s="214" t="s">
        <v>133</v>
      </c>
      <c r="F22" s="159" t="s">
        <v>26</v>
      </c>
      <c r="G22" s="159" t="s">
        <v>26</v>
      </c>
      <c r="H22" s="159">
        <v>140</v>
      </c>
      <c r="I22" s="159">
        <v>70</v>
      </c>
      <c r="J22" s="159">
        <v>140</v>
      </c>
      <c r="K22" s="159">
        <v>70</v>
      </c>
      <c r="L22" s="159">
        <v>141</v>
      </c>
      <c r="M22" s="159">
        <v>141</v>
      </c>
      <c r="N22" s="159">
        <v>196</v>
      </c>
      <c r="O22" s="159">
        <v>50</v>
      </c>
      <c r="P22" s="159">
        <v>1255</v>
      </c>
      <c r="Q22" s="159">
        <v>627</v>
      </c>
      <c r="R22" s="159">
        <v>190</v>
      </c>
      <c r="S22" s="159">
        <v>95</v>
      </c>
      <c r="T22" s="159">
        <v>658</v>
      </c>
      <c r="U22" s="121">
        <f>T22/2</f>
        <v>329</v>
      </c>
      <c r="V22" s="159">
        <v>765</v>
      </c>
      <c r="W22" s="159">
        <v>382</v>
      </c>
      <c r="X22" s="159">
        <v>100</v>
      </c>
      <c r="Y22" s="159">
        <v>47</v>
      </c>
      <c r="Z22" s="159">
        <v>90</v>
      </c>
      <c r="AA22" s="159">
        <v>46</v>
      </c>
      <c r="AB22" s="159">
        <v>90</v>
      </c>
      <c r="AC22" s="159">
        <v>46</v>
      </c>
      <c r="AD22" s="159">
        <f>AB22</f>
        <v>90</v>
      </c>
      <c r="AE22" s="159">
        <v>46</v>
      </c>
      <c r="AF22" s="159">
        <f>AD22+AB22+Z22+X22+V22+T22+R22+P22+N22+L22+J22+H22</f>
        <v>3855</v>
      </c>
    </row>
    <row r="23" spans="1:32" s="114" customFormat="1" ht="34.5" customHeight="1" x14ac:dyDescent="0.25">
      <c r="A23" s="214"/>
      <c r="B23" s="215"/>
      <c r="C23" s="159" t="s">
        <v>43</v>
      </c>
      <c r="D23" s="215"/>
      <c r="E23" s="214"/>
      <c r="F23" s="159" t="s">
        <v>26</v>
      </c>
      <c r="G23" s="159" t="s">
        <v>26</v>
      </c>
      <c r="H23" s="159">
        <v>84</v>
      </c>
      <c r="I23" s="159">
        <v>40</v>
      </c>
      <c r="J23" s="159">
        <v>207</v>
      </c>
      <c r="K23" s="159">
        <v>135</v>
      </c>
      <c r="L23" s="159">
        <v>156</v>
      </c>
      <c r="M23" s="159">
        <v>38</v>
      </c>
      <c r="N23" s="159">
        <v>152</v>
      </c>
      <c r="O23" s="159">
        <v>38</v>
      </c>
      <c r="P23" s="159">
        <v>187</v>
      </c>
      <c r="Q23" s="159">
        <v>70</v>
      </c>
      <c r="R23" s="159">
        <v>187</v>
      </c>
      <c r="S23" s="159">
        <v>93</v>
      </c>
      <c r="T23" s="159">
        <v>128</v>
      </c>
      <c r="U23" s="159">
        <v>64</v>
      </c>
      <c r="V23" s="159">
        <v>119</v>
      </c>
      <c r="W23" s="159">
        <v>42</v>
      </c>
      <c r="X23" s="159">
        <v>92</v>
      </c>
      <c r="Y23" s="159">
        <f>X23/2</f>
        <v>46</v>
      </c>
      <c r="Z23" s="159">
        <v>95</v>
      </c>
      <c r="AA23" s="159">
        <v>48</v>
      </c>
      <c r="AB23" s="159">
        <v>95</v>
      </c>
      <c r="AC23" s="159">
        <v>48</v>
      </c>
      <c r="AD23" s="159">
        <v>95</v>
      </c>
      <c r="AE23" s="159">
        <v>48</v>
      </c>
      <c r="AF23" s="159">
        <f>AD23+AB23+Z23+X23+V23+T23+R23+P23+N23+L23+J23+H23</f>
        <v>1597</v>
      </c>
    </row>
    <row r="24" spans="1:32" s="114" customFormat="1" ht="34.5" customHeight="1" x14ac:dyDescent="0.25">
      <c r="A24" s="214"/>
      <c r="B24" s="215"/>
      <c r="C24" s="159" t="s">
        <v>44</v>
      </c>
      <c r="D24" s="215"/>
      <c r="E24" s="214"/>
      <c r="F24" s="159" t="s">
        <v>26</v>
      </c>
      <c r="G24" s="159" t="s">
        <v>26</v>
      </c>
      <c r="H24" s="159">
        <v>27</v>
      </c>
      <c r="I24" s="159">
        <v>13</v>
      </c>
      <c r="J24" s="159">
        <v>57</v>
      </c>
      <c r="K24" s="159">
        <v>28</v>
      </c>
      <c r="L24" s="159">
        <v>241</v>
      </c>
      <c r="M24" s="159">
        <v>37</v>
      </c>
      <c r="N24" s="159">
        <v>210</v>
      </c>
      <c r="O24" s="159">
        <v>37</v>
      </c>
      <c r="P24" s="159">
        <v>174</v>
      </c>
      <c r="Q24" s="159">
        <v>73</v>
      </c>
      <c r="R24" s="159">
        <v>146</v>
      </c>
      <c r="S24" s="159">
        <v>73</v>
      </c>
      <c r="T24" s="159">
        <f>200-66</f>
        <v>134</v>
      </c>
      <c r="U24" s="159">
        <v>85</v>
      </c>
      <c r="V24" s="159">
        <v>170</v>
      </c>
      <c r="W24" s="159">
        <f>V24/2</f>
        <v>85</v>
      </c>
      <c r="X24" s="159">
        <v>170</v>
      </c>
      <c r="Y24" s="159">
        <f>X24/2</f>
        <v>85</v>
      </c>
      <c r="Z24" s="159">
        <v>170</v>
      </c>
      <c r="AA24" s="159">
        <v>85</v>
      </c>
      <c r="AB24" s="159">
        <v>170</v>
      </c>
      <c r="AC24" s="159">
        <v>85</v>
      </c>
      <c r="AD24" s="159">
        <v>170</v>
      </c>
      <c r="AE24" s="159">
        <v>85</v>
      </c>
      <c r="AF24" s="159">
        <f t="shared" ref="AF24:AF25" si="2">AD24+AB24+Z24+X24+V24+T24+R24+P24+N24+L24+J24+H24</f>
        <v>1839</v>
      </c>
    </row>
    <row r="25" spans="1:32" s="114" customFormat="1" ht="34.5" customHeight="1" x14ac:dyDescent="0.25">
      <c r="A25" s="214"/>
      <c r="B25" s="215"/>
      <c r="C25" s="159" t="s">
        <v>45</v>
      </c>
      <c r="D25" s="215"/>
      <c r="E25" s="214"/>
      <c r="F25" s="159" t="s">
        <v>26</v>
      </c>
      <c r="G25" s="159" t="s">
        <v>26</v>
      </c>
      <c r="H25" s="159">
        <v>55</v>
      </c>
      <c r="I25" s="159">
        <v>27</v>
      </c>
      <c r="J25" s="159">
        <v>189</v>
      </c>
      <c r="K25" s="159">
        <v>92</v>
      </c>
      <c r="L25" s="159">
        <v>23</v>
      </c>
      <c r="M25" s="159">
        <v>0</v>
      </c>
      <c r="N25" s="159">
        <v>95</v>
      </c>
      <c r="O25" s="159">
        <v>50</v>
      </c>
      <c r="P25" s="159">
        <v>263</v>
      </c>
      <c r="Q25" s="159">
        <v>131</v>
      </c>
      <c r="R25" s="159">
        <v>95</v>
      </c>
      <c r="S25" s="159">
        <v>47</v>
      </c>
      <c r="T25" s="159">
        <f>75-43</f>
        <v>32</v>
      </c>
      <c r="U25" s="159">
        <v>37</v>
      </c>
      <c r="V25" s="159">
        <v>136</v>
      </c>
      <c r="W25" s="159">
        <f>V25/2</f>
        <v>68</v>
      </c>
      <c r="X25" s="159">
        <v>100</v>
      </c>
      <c r="Y25" s="159">
        <f>X25/2</f>
        <v>50</v>
      </c>
      <c r="Z25" s="159">
        <v>90</v>
      </c>
      <c r="AA25" s="159">
        <f>Z25/2</f>
        <v>45</v>
      </c>
      <c r="AB25" s="159">
        <v>80</v>
      </c>
      <c r="AC25" s="159">
        <f>AB25/2</f>
        <v>40</v>
      </c>
      <c r="AD25" s="159">
        <v>80</v>
      </c>
      <c r="AE25" s="159">
        <v>40</v>
      </c>
      <c r="AF25" s="159">
        <f t="shared" si="2"/>
        <v>1238</v>
      </c>
    </row>
    <row r="26" spans="1:32" s="114" customFormat="1" ht="43.5" customHeight="1" x14ac:dyDescent="0.25">
      <c r="A26" s="159">
        <v>11</v>
      </c>
      <c r="B26" s="160" t="s">
        <v>246</v>
      </c>
      <c r="C26" s="159" t="s">
        <v>53</v>
      </c>
      <c r="D26" s="160" t="s">
        <v>245</v>
      </c>
      <c r="E26" s="159" t="s">
        <v>133</v>
      </c>
      <c r="F26" s="159">
        <v>21</v>
      </c>
      <c r="G26" s="159">
        <v>17</v>
      </c>
      <c r="H26" s="159">
        <v>0</v>
      </c>
      <c r="I26" s="159">
        <v>0</v>
      </c>
      <c r="J26" s="159">
        <v>0</v>
      </c>
      <c r="K26" s="159">
        <v>0</v>
      </c>
      <c r="L26" s="159">
        <v>14</v>
      </c>
      <c r="M26" s="159">
        <v>0</v>
      </c>
      <c r="N26" s="159">
        <v>14</v>
      </c>
      <c r="O26" s="159">
        <v>0</v>
      </c>
      <c r="P26" s="159">
        <f>N26</f>
        <v>14</v>
      </c>
      <c r="Q26" s="159">
        <f>O26</f>
        <v>0</v>
      </c>
      <c r="R26" s="159">
        <v>14</v>
      </c>
      <c r="S26" s="159">
        <v>0</v>
      </c>
      <c r="T26" s="159">
        <v>14</v>
      </c>
      <c r="U26" s="159">
        <v>0</v>
      </c>
      <c r="V26" s="159">
        <v>14</v>
      </c>
      <c r="W26" s="159">
        <v>0</v>
      </c>
      <c r="X26" s="159">
        <v>0</v>
      </c>
      <c r="Y26" s="159">
        <v>0</v>
      </c>
      <c r="Z26" s="159">
        <v>0</v>
      </c>
      <c r="AA26" s="159">
        <v>0</v>
      </c>
      <c r="AB26" s="159">
        <v>0</v>
      </c>
      <c r="AC26" s="159">
        <v>0</v>
      </c>
      <c r="AD26" s="159">
        <v>0</v>
      </c>
      <c r="AE26" s="159">
        <v>0</v>
      </c>
      <c r="AF26" s="120" t="s">
        <v>244</v>
      </c>
    </row>
    <row r="27" spans="1:32" s="114" customFormat="1" ht="96" hidden="1" customHeight="1" x14ac:dyDescent="0.25">
      <c r="A27" s="159"/>
      <c r="B27" s="160" t="s">
        <v>243</v>
      </c>
      <c r="C27" s="159" t="s">
        <v>53</v>
      </c>
      <c r="D27" s="160" t="s">
        <v>242</v>
      </c>
      <c r="E27" s="159" t="s">
        <v>133</v>
      </c>
      <c r="F27" s="159">
        <v>21</v>
      </c>
      <c r="G27" s="159">
        <v>17</v>
      </c>
      <c r="H27" s="159">
        <v>0</v>
      </c>
      <c r="I27" s="159">
        <v>0</v>
      </c>
      <c r="J27" s="159">
        <v>0</v>
      </c>
      <c r="K27" s="159">
        <v>0</v>
      </c>
      <c r="L27" s="159">
        <v>1</v>
      </c>
      <c r="M27" s="159">
        <v>0</v>
      </c>
      <c r="N27" s="159">
        <v>1</v>
      </c>
      <c r="O27" s="159">
        <v>0</v>
      </c>
      <c r="P27" s="159">
        <f>N27</f>
        <v>1</v>
      </c>
      <c r="Q27" s="159">
        <f>O27</f>
        <v>0</v>
      </c>
      <c r="R27" s="159">
        <v>14</v>
      </c>
      <c r="S27" s="159">
        <v>0</v>
      </c>
      <c r="T27" s="159">
        <v>14</v>
      </c>
      <c r="U27" s="159">
        <v>0</v>
      </c>
      <c r="V27" s="159">
        <v>14</v>
      </c>
      <c r="W27" s="159">
        <v>0</v>
      </c>
      <c r="X27" s="159"/>
      <c r="Y27" s="159"/>
      <c r="Z27" s="159"/>
      <c r="AA27" s="159"/>
      <c r="AB27" s="159"/>
      <c r="AC27" s="159"/>
      <c r="AD27" s="159"/>
      <c r="AE27" s="159"/>
      <c r="AF27" s="159">
        <v>14</v>
      </c>
    </row>
    <row r="28" spans="1:32" s="114" customFormat="1" ht="202.5" customHeight="1" x14ac:dyDescent="0.25">
      <c r="A28" s="159">
        <v>12</v>
      </c>
      <c r="B28" s="163" t="s">
        <v>241</v>
      </c>
      <c r="C28" s="91" t="s">
        <v>220</v>
      </c>
      <c r="D28" s="163" t="s">
        <v>222</v>
      </c>
      <c r="E28" s="159" t="s">
        <v>127</v>
      </c>
      <c r="F28" s="159">
        <v>100</v>
      </c>
      <c r="G28" s="159">
        <v>100</v>
      </c>
      <c r="H28" s="159">
        <v>76.87</v>
      </c>
      <c r="I28" s="159">
        <v>38.43</v>
      </c>
      <c r="J28" s="159">
        <v>100</v>
      </c>
      <c r="K28" s="159">
        <v>100</v>
      </c>
      <c r="L28" s="159">
        <v>100</v>
      </c>
      <c r="M28" s="159">
        <v>100</v>
      </c>
      <c r="N28" s="159">
        <v>100</v>
      </c>
      <c r="O28" s="159">
        <v>100</v>
      </c>
      <c r="P28" s="159">
        <v>100</v>
      </c>
      <c r="Q28" s="159">
        <v>100</v>
      </c>
      <c r="R28" s="159">
        <v>100</v>
      </c>
      <c r="S28" s="159">
        <v>100</v>
      </c>
      <c r="T28" s="159">
        <v>100</v>
      </c>
      <c r="U28" s="159">
        <v>100</v>
      </c>
      <c r="V28" s="159">
        <v>100</v>
      </c>
      <c r="W28" s="159">
        <v>100</v>
      </c>
      <c r="X28" s="159">
        <v>100</v>
      </c>
      <c r="Y28" s="159">
        <v>100</v>
      </c>
      <c r="Z28" s="159">
        <v>100</v>
      </c>
      <c r="AA28" s="159">
        <v>100</v>
      </c>
      <c r="AB28" s="159">
        <v>100</v>
      </c>
      <c r="AC28" s="159">
        <v>100</v>
      </c>
      <c r="AD28" s="159">
        <v>100</v>
      </c>
      <c r="AE28" s="159">
        <v>100</v>
      </c>
      <c r="AF28" s="159">
        <v>100</v>
      </c>
    </row>
    <row r="29" spans="1:32" s="114" customFormat="1" ht="80.25" customHeight="1" x14ac:dyDescent="0.25">
      <c r="A29" s="159">
        <v>13</v>
      </c>
      <c r="B29" s="160" t="s">
        <v>240</v>
      </c>
      <c r="C29" s="91" t="s">
        <v>53</v>
      </c>
      <c r="D29" s="160" t="s">
        <v>239</v>
      </c>
      <c r="E29" s="159" t="s">
        <v>127</v>
      </c>
      <c r="F29" s="159">
        <v>0</v>
      </c>
      <c r="G29" s="159">
        <v>0</v>
      </c>
      <c r="H29" s="159">
        <v>0</v>
      </c>
      <c r="I29" s="159">
        <v>0</v>
      </c>
      <c r="J29" s="159">
        <v>50</v>
      </c>
      <c r="K29" s="159">
        <v>0</v>
      </c>
      <c r="L29" s="159">
        <v>0</v>
      </c>
      <c r="M29" s="159">
        <v>0</v>
      </c>
      <c r="N29" s="159">
        <v>0</v>
      </c>
      <c r="O29" s="159">
        <v>0</v>
      </c>
      <c r="P29" s="159">
        <v>0</v>
      </c>
      <c r="Q29" s="159">
        <v>0</v>
      </c>
      <c r="R29" s="159">
        <v>0</v>
      </c>
      <c r="S29" s="159">
        <v>0</v>
      </c>
      <c r="T29" s="159">
        <v>0</v>
      </c>
      <c r="U29" s="159">
        <v>0</v>
      </c>
      <c r="V29" s="159">
        <v>0</v>
      </c>
      <c r="W29" s="159">
        <v>0</v>
      </c>
      <c r="X29" s="159">
        <v>0</v>
      </c>
      <c r="Y29" s="159">
        <v>0</v>
      </c>
      <c r="Z29" s="159">
        <v>0</v>
      </c>
      <c r="AA29" s="159">
        <v>0</v>
      </c>
      <c r="AB29" s="159">
        <v>0</v>
      </c>
      <c r="AC29" s="159">
        <v>0</v>
      </c>
      <c r="AD29" s="159">
        <v>0</v>
      </c>
      <c r="AE29" s="159">
        <v>0</v>
      </c>
      <c r="AF29" s="159">
        <f>J29</f>
        <v>50</v>
      </c>
    </row>
    <row r="30" spans="1:32" s="114" customFormat="1" ht="33.75" customHeight="1" x14ac:dyDescent="0.25">
      <c r="A30" s="229">
        <v>14</v>
      </c>
      <c r="B30" s="254" t="s">
        <v>238</v>
      </c>
      <c r="C30" s="256" t="s">
        <v>53</v>
      </c>
      <c r="D30" s="160" t="s">
        <v>237</v>
      </c>
      <c r="E30" s="159" t="s">
        <v>127</v>
      </c>
      <c r="F30" s="159" t="s">
        <v>26</v>
      </c>
      <c r="G30" s="159" t="s">
        <v>26</v>
      </c>
      <c r="H30" s="159" t="s">
        <v>26</v>
      </c>
      <c r="I30" s="159" t="s">
        <v>26</v>
      </c>
      <c r="J30" s="159" t="s">
        <v>26</v>
      </c>
      <c r="K30" s="159" t="s">
        <v>26</v>
      </c>
      <c r="L30" s="159" t="s">
        <v>26</v>
      </c>
      <c r="M30" s="159" t="s">
        <v>26</v>
      </c>
      <c r="N30" s="159">
        <v>100</v>
      </c>
      <c r="O30" s="159" t="s">
        <v>26</v>
      </c>
      <c r="P30" s="159">
        <v>100</v>
      </c>
      <c r="Q30" s="159" t="s">
        <v>26</v>
      </c>
      <c r="R30" s="159" t="s">
        <v>26</v>
      </c>
      <c r="S30" s="159" t="s">
        <v>26</v>
      </c>
      <c r="T30" s="159" t="s">
        <v>26</v>
      </c>
      <c r="U30" s="159" t="s">
        <v>26</v>
      </c>
      <c r="V30" s="159" t="s">
        <v>26</v>
      </c>
      <c r="W30" s="159" t="s">
        <v>26</v>
      </c>
      <c r="X30" s="159" t="s">
        <v>26</v>
      </c>
      <c r="Y30" s="159" t="s">
        <v>26</v>
      </c>
      <c r="Z30" s="159" t="s">
        <v>26</v>
      </c>
      <c r="AA30" s="159" t="s">
        <v>26</v>
      </c>
      <c r="AB30" s="159" t="s">
        <v>26</v>
      </c>
      <c r="AC30" s="159" t="s">
        <v>26</v>
      </c>
      <c r="AD30" s="159" t="s">
        <v>26</v>
      </c>
      <c r="AE30" s="159" t="s">
        <v>26</v>
      </c>
      <c r="AF30" s="159">
        <f>N30</f>
        <v>100</v>
      </c>
    </row>
    <row r="31" spans="1:32" s="114" customFormat="1" ht="39" customHeight="1" x14ac:dyDescent="0.25">
      <c r="A31" s="247"/>
      <c r="B31" s="255"/>
      <c r="C31" s="257"/>
      <c r="D31" s="160" t="s">
        <v>236</v>
      </c>
      <c r="E31" s="159" t="s">
        <v>127</v>
      </c>
      <c r="F31" s="159" t="s">
        <v>26</v>
      </c>
      <c r="G31" s="159" t="s">
        <v>26</v>
      </c>
      <c r="H31" s="159" t="s">
        <v>26</v>
      </c>
      <c r="I31" s="159" t="s">
        <v>26</v>
      </c>
      <c r="J31" s="159" t="s">
        <v>26</v>
      </c>
      <c r="K31" s="159" t="s">
        <v>26</v>
      </c>
      <c r="L31" s="159" t="s">
        <v>26</v>
      </c>
      <c r="M31" s="159" t="s">
        <v>26</v>
      </c>
      <c r="N31" s="159" t="s">
        <v>26</v>
      </c>
      <c r="O31" s="159" t="s">
        <v>26</v>
      </c>
      <c r="P31" s="159" t="s">
        <v>26</v>
      </c>
      <c r="Q31" s="159" t="s">
        <v>26</v>
      </c>
      <c r="R31" s="159">
        <v>100</v>
      </c>
      <c r="S31" s="159" t="s">
        <v>26</v>
      </c>
      <c r="T31" s="159">
        <v>100</v>
      </c>
      <c r="U31" s="159" t="s">
        <v>26</v>
      </c>
      <c r="V31" s="159" t="s">
        <v>26</v>
      </c>
      <c r="W31" s="159" t="s">
        <v>26</v>
      </c>
      <c r="X31" s="159">
        <v>100</v>
      </c>
      <c r="Y31" s="159" t="s">
        <v>26</v>
      </c>
      <c r="Z31" s="159" t="s">
        <v>26</v>
      </c>
      <c r="AA31" s="159" t="s">
        <v>26</v>
      </c>
      <c r="AB31" s="159" t="s">
        <v>26</v>
      </c>
      <c r="AC31" s="159" t="s">
        <v>26</v>
      </c>
      <c r="AD31" s="159" t="s">
        <v>26</v>
      </c>
      <c r="AE31" s="159" t="s">
        <v>26</v>
      </c>
      <c r="AF31" s="159">
        <v>100</v>
      </c>
    </row>
    <row r="32" spans="1:32" s="116" customFormat="1" ht="108" customHeight="1" x14ac:dyDescent="0.25">
      <c r="A32" s="159">
        <v>15</v>
      </c>
      <c r="B32" s="119" t="s">
        <v>235</v>
      </c>
      <c r="C32" s="102" t="s">
        <v>53</v>
      </c>
      <c r="D32" s="160" t="s">
        <v>233</v>
      </c>
      <c r="E32" s="159" t="s">
        <v>127</v>
      </c>
      <c r="F32" s="159" t="s">
        <v>26</v>
      </c>
      <c r="G32" s="159" t="s">
        <v>26</v>
      </c>
      <c r="H32" s="159" t="s">
        <v>26</v>
      </c>
      <c r="I32" s="159" t="s">
        <v>26</v>
      </c>
      <c r="J32" s="159" t="s">
        <v>26</v>
      </c>
      <c r="K32" s="159" t="s">
        <v>26</v>
      </c>
      <c r="L32" s="159" t="s">
        <v>26</v>
      </c>
      <c r="M32" s="159" t="s">
        <v>26</v>
      </c>
      <c r="N32" s="159">
        <v>30</v>
      </c>
      <c r="O32" s="159" t="s">
        <v>26</v>
      </c>
      <c r="P32" s="159" t="s">
        <v>26</v>
      </c>
      <c r="Q32" s="159" t="s">
        <v>26</v>
      </c>
      <c r="R32" s="159" t="s">
        <v>26</v>
      </c>
      <c r="S32" s="159" t="s">
        <v>26</v>
      </c>
      <c r="T32" s="159" t="s">
        <v>26</v>
      </c>
      <c r="U32" s="159" t="s">
        <v>26</v>
      </c>
      <c r="V32" s="159" t="s">
        <v>26</v>
      </c>
      <c r="W32" s="159" t="s">
        <v>26</v>
      </c>
      <c r="X32" s="159" t="s">
        <v>26</v>
      </c>
      <c r="Y32" s="159" t="s">
        <v>26</v>
      </c>
      <c r="Z32" s="159" t="s">
        <v>26</v>
      </c>
      <c r="AA32" s="159" t="s">
        <v>26</v>
      </c>
      <c r="AB32" s="159" t="s">
        <v>26</v>
      </c>
      <c r="AC32" s="159" t="s">
        <v>26</v>
      </c>
      <c r="AD32" s="159" t="s">
        <v>26</v>
      </c>
      <c r="AE32" s="159" t="s">
        <v>26</v>
      </c>
      <c r="AF32" s="159">
        <f>N32</f>
        <v>30</v>
      </c>
    </row>
    <row r="33" spans="1:32" s="116" customFormat="1" ht="60.75" customHeight="1" x14ac:dyDescent="0.25">
      <c r="A33" s="159">
        <v>16</v>
      </c>
      <c r="B33" s="118" t="s">
        <v>234</v>
      </c>
      <c r="C33" s="102" t="s">
        <v>53</v>
      </c>
      <c r="D33" s="160" t="s">
        <v>233</v>
      </c>
      <c r="E33" s="159" t="s">
        <v>127</v>
      </c>
      <c r="F33" s="159" t="s">
        <v>26</v>
      </c>
      <c r="G33" s="159" t="s">
        <v>26</v>
      </c>
      <c r="H33" s="159" t="s">
        <v>26</v>
      </c>
      <c r="I33" s="159" t="s">
        <v>26</v>
      </c>
      <c r="J33" s="159" t="s">
        <v>26</v>
      </c>
      <c r="K33" s="159" t="s">
        <v>26</v>
      </c>
      <c r="L33" s="159" t="s">
        <v>26</v>
      </c>
      <c r="M33" s="159" t="s">
        <v>26</v>
      </c>
      <c r="N33" s="159" t="s">
        <v>26</v>
      </c>
      <c r="O33" s="159" t="s">
        <v>26</v>
      </c>
      <c r="P33" s="159">
        <v>18.5</v>
      </c>
      <c r="Q33" s="159" t="s">
        <v>26</v>
      </c>
      <c r="R33" s="159" t="s">
        <v>26</v>
      </c>
      <c r="S33" s="159" t="s">
        <v>26</v>
      </c>
      <c r="T33" s="159" t="s">
        <v>26</v>
      </c>
      <c r="U33" s="159" t="s">
        <v>26</v>
      </c>
      <c r="V33" s="159" t="s">
        <v>26</v>
      </c>
      <c r="W33" s="159" t="s">
        <v>26</v>
      </c>
      <c r="X33" s="159" t="s">
        <v>26</v>
      </c>
      <c r="Y33" s="159" t="s">
        <v>26</v>
      </c>
      <c r="Z33" s="159" t="s">
        <v>26</v>
      </c>
      <c r="AA33" s="159" t="s">
        <v>26</v>
      </c>
      <c r="AB33" s="159" t="s">
        <v>26</v>
      </c>
      <c r="AC33" s="159" t="s">
        <v>26</v>
      </c>
      <c r="AD33" s="159" t="s">
        <v>26</v>
      </c>
      <c r="AE33" s="159" t="s">
        <v>26</v>
      </c>
      <c r="AF33" s="159">
        <v>18.5</v>
      </c>
    </row>
    <row r="34" spans="1:32" s="116" customFormat="1" ht="39.75" customHeight="1" x14ac:dyDescent="0.25">
      <c r="A34" s="229">
        <v>17</v>
      </c>
      <c r="B34" s="258" t="s">
        <v>232</v>
      </c>
      <c r="C34" s="256" t="s">
        <v>53</v>
      </c>
      <c r="D34" s="160" t="s">
        <v>231</v>
      </c>
      <c r="E34" s="159" t="s">
        <v>133</v>
      </c>
      <c r="F34" s="89" t="s">
        <v>26</v>
      </c>
      <c r="G34" s="89" t="s">
        <v>26</v>
      </c>
      <c r="H34" s="89" t="s">
        <v>26</v>
      </c>
      <c r="I34" s="89" t="s">
        <v>26</v>
      </c>
      <c r="J34" s="89" t="s">
        <v>26</v>
      </c>
      <c r="K34" s="89" t="s">
        <v>26</v>
      </c>
      <c r="L34" s="89" t="s">
        <v>26</v>
      </c>
      <c r="M34" s="89" t="s">
        <v>26</v>
      </c>
      <c r="N34" s="89" t="s">
        <v>26</v>
      </c>
      <c r="O34" s="89" t="s">
        <v>26</v>
      </c>
      <c r="P34" s="89" t="s">
        <v>26</v>
      </c>
      <c r="Q34" s="89" t="s">
        <v>26</v>
      </c>
      <c r="R34" s="159">
        <v>1</v>
      </c>
      <c r="S34" s="159" t="s">
        <v>26</v>
      </c>
      <c r="T34" s="159" t="s">
        <v>26</v>
      </c>
      <c r="U34" s="159" t="s">
        <v>26</v>
      </c>
      <c r="V34" s="159" t="s">
        <v>26</v>
      </c>
      <c r="W34" s="159" t="s">
        <v>26</v>
      </c>
      <c r="X34" s="159" t="s">
        <v>26</v>
      </c>
      <c r="Y34" s="159" t="s">
        <v>26</v>
      </c>
      <c r="Z34" s="159" t="s">
        <v>26</v>
      </c>
      <c r="AA34" s="159" t="s">
        <v>26</v>
      </c>
      <c r="AB34" s="159" t="s">
        <v>26</v>
      </c>
      <c r="AC34" s="159" t="s">
        <v>26</v>
      </c>
      <c r="AD34" s="159" t="s">
        <v>26</v>
      </c>
      <c r="AE34" s="159" t="s">
        <v>26</v>
      </c>
      <c r="AF34" s="159">
        <v>1</v>
      </c>
    </row>
    <row r="35" spans="1:32" s="116" customFormat="1" ht="45.75" customHeight="1" x14ac:dyDescent="0.25">
      <c r="A35" s="247"/>
      <c r="B35" s="227"/>
      <c r="C35" s="223"/>
      <c r="D35" s="160" t="s">
        <v>230</v>
      </c>
      <c r="E35" s="159" t="s">
        <v>229</v>
      </c>
      <c r="F35" s="89" t="s">
        <v>26</v>
      </c>
      <c r="G35" s="89" t="s">
        <v>26</v>
      </c>
      <c r="H35" s="89" t="s">
        <v>26</v>
      </c>
      <c r="I35" s="89" t="s">
        <v>26</v>
      </c>
      <c r="J35" s="89" t="s">
        <v>26</v>
      </c>
      <c r="K35" s="89" t="s">
        <v>26</v>
      </c>
      <c r="L35" s="89" t="s">
        <v>26</v>
      </c>
      <c r="M35" s="89" t="s">
        <v>26</v>
      </c>
      <c r="N35" s="89" t="s">
        <v>26</v>
      </c>
      <c r="O35" s="89" t="s">
        <v>26</v>
      </c>
      <c r="P35" s="89" t="s">
        <v>26</v>
      </c>
      <c r="Q35" s="89" t="s">
        <v>26</v>
      </c>
      <c r="R35" s="159" t="s">
        <v>26</v>
      </c>
      <c r="S35" s="159" t="s">
        <v>26</v>
      </c>
      <c r="T35" s="159">
        <v>0</v>
      </c>
      <c r="U35" s="159" t="s">
        <v>26</v>
      </c>
      <c r="V35" s="159" t="s">
        <v>26</v>
      </c>
      <c r="W35" s="159" t="s">
        <v>26</v>
      </c>
      <c r="X35" s="159">
        <v>8139</v>
      </c>
      <c r="Y35" s="159" t="s">
        <v>26</v>
      </c>
      <c r="Z35" s="159" t="s">
        <v>26</v>
      </c>
      <c r="AA35" s="159" t="s">
        <v>26</v>
      </c>
      <c r="AB35" s="159" t="s">
        <v>26</v>
      </c>
      <c r="AC35" s="159" t="s">
        <v>26</v>
      </c>
      <c r="AD35" s="159" t="s">
        <v>26</v>
      </c>
      <c r="AE35" s="159" t="s">
        <v>26</v>
      </c>
      <c r="AF35" s="159">
        <f>T35+X35</f>
        <v>8139</v>
      </c>
    </row>
    <row r="36" spans="1:32" s="116" customFormat="1" ht="48" customHeight="1" x14ac:dyDescent="0.25">
      <c r="A36" s="159">
        <v>18</v>
      </c>
      <c r="B36" s="117" t="s">
        <v>228</v>
      </c>
      <c r="C36" s="102" t="s">
        <v>53</v>
      </c>
      <c r="D36" s="117" t="s">
        <v>227</v>
      </c>
      <c r="E36" s="89" t="s">
        <v>127</v>
      </c>
      <c r="F36" s="159" t="s">
        <v>26</v>
      </c>
      <c r="G36" s="159" t="s">
        <v>26</v>
      </c>
      <c r="H36" s="159" t="s">
        <v>26</v>
      </c>
      <c r="I36" s="159" t="s">
        <v>26</v>
      </c>
      <c r="J36" s="159" t="s">
        <v>26</v>
      </c>
      <c r="K36" s="159" t="s">
        <v>26</v>
      </c>
      <c r="L36" s="159" t="s">
        <v>26</v>
      </c>
      <c r="M36" s="159" t="s">
        <v>26</v>
      </c>
      <c r="N36" s="159" t="s">
        <v>26</v>
      </c>
      <c r="O36" s="159" t="s">
        <v>26</v>
      </c>
      <c r="P36" s="89">
        <v>100</v>
      </c>
      <c r="Q36" s="89" t="s">
        <v>26</v>
      </c>
      <c r="R36" s="159" t="s">
        <v>26</v>
      </c>
      <c r="S36" s="159" t="s">
        <v>26</v>
      </c>
      <c r="T36" s="159" t="s">
        <v>26</v>
      </c>
      <c r="U36" s="159" t="s">
        <v>26</v>
      </c>
      <c r="V36" s="159" t="s">
        <v>26</v>
      </c>
      <c r="W36" s="159" t="s">
        <v>26</v>
      </c>
      <c r="X36" s="159" t="s">
        <v>26</v>
      </c>
      <c r="Y36" s="159" t="s">
        <v>26</v>
      </c>
      <c r="Z36" s="159" t="s">
        <v>26</v>
      </c>
      <c r="AA36" s="159" t="s">
        <v>26</v>
      </c>
      <c r="AB36" s="159" t="s">
        <v>26</v>
      </c>
      <c r="AC36" s="159" t="s">
        <v>26</v>
      </c>
      <c r="AD36" s="159" t="s">
        <v>26</v>
      </c>
      <c r="AE36" s="159" t="s">
        <v>26</v>
      </c>
      <c r="AF36" s="159">
        <v>100</v>
      </c>
    </row>
    <row r="37" spans="1:32" s="116" customFormat="1" ht="84.75" customHeight="1" x14ac:dyDescent="0.25">
      <c r="A37" s="159">
        <v>19</v>
      </c>
      <c r="B37" s="117" t="s">
        <v>226</v>
      </c>
      <c r="C37" s="102" t="s">
        <v>53</v>
      </c>
      <c r="D37" s="117" t="s">
        <v>225</v>
      </c>
      <c r="E37" s="89" t="s">
        <v>127</v>
      </c>
      <c r="F37" s="159" t="s">
        <v>26</v>
      </c>
      <c r="G37" s="159" t="s">
        <v>26</v>
      </c>
      <c r="H37" s="159" t="s">
        <v>26</v>
      </c>
      <c r="I37" s="159" t="s">
        <v>26</v>
      </c>
      <c r="J37" s="159" t="s">
        <v>26</v>
      </c>
      <c r="K37" s="159" t="s">
        <v>26</v>
      </c>
      <c r="L37" s="159" t="s">
        <v>26</v>
      </c>
      <c r="M37" s="159" t="s">
        <v>26</v>
      </c>
      <c r="N37" s="159" t="s">
        <v>26</v>
      </c>
      <c r="O37" s="159" t="s">
        <v>26</v>
      </c>
      <c r="P37" s="89">
        <v>100</v>
      </c>
      <c r="Q37" s="89" t="s">
        <v>26</v>
      </c>
      <c r="R37" s="159" t="s">
        <v>26</v>
      </c>
      <c r="S37" s="159" t="s">
        <v>26</v>
      </c>
      <c r="T37" s="159" t="s">
        <v>26</v>
      </c>
      <c r="U37" s="159" t="s">
        <v>26</v>
      </c>
      <c r="V37" s="159" t="s">
        <v>26</v>
      </c>
      <c r="W37" s="159" t="s">
        <v>26</v>
      </c>
      <c r="X37" s="159" t="s">
        <v>26</v>
      </c>
      <c r="Y37" s="159" t="s">
        <v>26</v>
      </c>
      <c r="Z37" s="159" t="s">
        <v>26</v>
      </c>
      <c r="AA37" s="159" t="s">
        <v>26</v>
      </c>
      <c r="AB37" s="159" t="s">
        <v>26</v>
      </c>
      <c r="AC37" s="159" t="s">
        <v>26</v>
      </c>
      <c r="AD37" s="159" t="s">
        <v>26</v>
      </c>
      <c r="AE37" s="159" t="s">
        <v>26</v>
      </c>
      <c r="AF37" s="159">
        <v>100</v>
      </c>
    </row>
    <row r="38" spans="1:32" s="114" customFormat="1" ht="25.5" customHeight="1" x14ac:dyDescent="0.25">
      <c r="A38" s="228" t="s">
        <v>224</v>
      </c>
      <c r="B38" s="228"/>
      <c r="C38" s="228"/>
      <c r="D38" s="228"/>
      <c r="E38" s="228"/>
      <c r="F38" s="228"/>
      <c r="G38" s="228"/>
      <c r="H38" s="228"/>
      <c r="I38" s="228"/>
      <c r="J38" s="228"/>
      <c r="K38" s="228"/>
      <c r="L38" s="228"/>
      <c r="M38" s="228"/>
      <c r="N38" s="228"/>
      <c r="O38" s="228"/>
      <c r="P38" s="228"/>
      <c r="Q38" s="228"/>
      <c r="R38" s="228"/>
      <c r="S38" s="228"/>
      <c r="T38" s="228"/>
      <c r="U38" s="228"/>
      <c r="V38" s="228"/>
      <c r="W38" s="228"/>
      <c r="X38" s="228"/>
      <c r="Y38" s="228"/>
      <c r="Z38" s="228"/>
      <c r="AA38" s="228"/>
      <c r="AB38" s="228"/>
      <c r="AC38" s="228"/>
      <c r="AD38" s="228"/>
      <c r="AE38" s="228"/>
      <c r="AF38" s="228"/>
    </row>
    <row r="39" spans="1:32" s="114" customFormat="1" ht="190.5" customHeight="1" x14ac:dyDescent="0.25">
      <c r="A39" s="159">
        <v>20</v>
      </c>
      <c r="B39" s="160" t="s">
        <v>223</v>
      </c>
      <c r="C39" s="91" t="s">
        <v>220</v>
      </c>
      <c r="D39" s="163" t="s">
        <v>222</v>
      </c>
      <c r="E39" s="159" t="s">
        <v>127</v>
      </c>
      <c r="F39" s="159">
        <v>100</v>
      </c>
      <c r="G39" s="159">
        <v>100</v>
      </c>
      <c r="H39" s="159">
        <v>76.87</v>
      </c>
      <c r="I39" s="159">
        <v>38.43</v>
      </c>
      <c r="J39" s="159">
        <v>100</v>
      </c>
      <c r="K39" s="159">
        <v>100</v>
      </c>
      <c r="L39" s="159">
        <v>100</v>
      </c>
      <c r="M39" s="159">
        <v>100</v>
      </c>
      <c r="N39" s="159">
        <v>100</v>
      </c>
      <c r="O39" s="159">
        <v>100</v>
      </c>
      <c r="P39" s="159">
        <v>100</v>
      </c>
      <c r="Q39" s="159">
        <v>100</v>
      </c>
      <c r="R39" s="159">
        <v>100</v>
      </c>
      <c r="S39" s="159">
        <v>100</v>
      </c>
      <c r="T39" s="159">
        <v>100</v>
      </c>
      <c r="U39" s="159">
        <v>100</v>
      </c>
      <c r="V39" s="159">
        <v>100</v>
      </c>
      <c r="W39" s="159">
        <v>100</v>
      </c>
      <c r="X39" s="159">
        <v>100</v>
      </c>
      <c r="Y39" s="159">
        <v>100</v>
      </c>
      <c r="Z39" s="159">
        <v>100</v>
      </c>
      <c r="AA39" s="159">
        <v>100</v>
      </c>
      <c r="AB39" s="159">
        <v>100</v>
      </c>
      <c r="AC39" s="159">
        <v>100</v>
      </c>
      <c r="AD39" s="159">
        <v>100</v>
      </c>
      <c r="AE39" s="159">
        <v>100</v>
      </c>
      <c r="AF39" s="159">
        <v>100</v>
      </c>
    </row>
    <row r="40" spans="1:32" s="114" customFormat="1" ht="186" customHeight="1" x14ac:dyDescent="0.25">
      <c r="A40" s="159">
        <v>21</v>
      </c>
      <c r="B40" s="160" t="s">
        <v>221</v>
      </c>
      <c r="C40" s="91" t="s">
        <v>220</v>
      </c>
      <c r="D40" s="163" t="s">
        <v>219</v>
      </c>
      <c r="E40" s="159" t="s">
        <v>127</v>
      </c>
      <c r="F40" s="159">
        <v>100</v>
      </c>
      <c r="G40" s="159">
        <v>100</v>
      </c>
      <c r="H40" s="159">
        <v>87.31</v>
      </c>
      <c r="I40" s="159">
        <v>43.65</v>
      </c>
      <c r="J40" s="159">
        <v>100</v>
      </c>
      <c r="K40" s="159">
        <v>100</v>
      </c>
      <c r="L40" s="159">
        <v>100</v>
      </c>
      <c r="M40" s="159">
        <v>100</v>
      </c>
      <c r="N40" s="159">
        <v>100</v>
      </c>
      <c r="O40" s="159">
        <v>100</v>
      </c>
      <c r="P40" s="159">
        <v>100</v>
      </c>
      <c r="Q40" s="159">
        <v>100</v>
      </c>
      <c r="R40" s="159">
        <v>100</v>
      </c>
      <c r="S40" s="159">
        <v>100</v>
      </c>
      <c r="T40" s="159">
        <v>100</v>
      </c>
      <c r="U40" s="159">
        <v>100</v>
      </c>
      <c r="V40" s="159">
        <v>100</v>
      </c>
      <c r="W40" s="159">
        <v>100</v>
      </c>
      <c r="X40" s="159">
        <v>100</v>
      </c>
      <c r="Y40" s="159">
        <v>100</v>
      </c>
      <c r="Z40" s="159">
        <v>100</v>
      </c>
      <c r="AA40" s="159">
        <v>100</v>
      </c>
      <c r="AB40" s="159">
        <v>100</v>
      </c>
      <c r="AC40" s="159">
        <v>100</v>
      </c>
      <c r="AD40" s="159">
        <v>100</v>
      </c>
      <c r="AE40" s="159">
        <v>100</v>
      </c>
      <c r="AF40" s="159">
        <v>100</v>
      </c>
    </row>
    <row r="41" spans="1:32" s="114" customFormat="1" ht="57.75" customHeight="1" x14ac:dyDescent="0.25">
      <c r="A41" s="159">
        <v>22</v>
      </c>
      <c r="B41" s="163" t="s">
        <v>218</v>
      </c>
      <c r="C41" s="159" t="s">
        <v>217</v>
      </c>
      <c r="D41" s="163" t="s">
        <v>216</v>
      </c>
      <c r="E41" s="159" t="s">
        <v>133</v>
      </c>
      <c r="F41" s="159">
        <v>0</v>
      </c>
      <c r="G41" s="159">
        <v>32</v>
      </c>
      <c r="H41" s="159">
        <v>32</v>
      </c>
      <c r="I41" s="112">
        <v>16</v>
      </c>
      <c r="J41" s="159">
        <v>12</v>
      </c>
      <c r="K41" s="159">
        <v>12</v>
      </c>
      <c r="L41" s="159">
        <v>12</v>
      </c>
      <c r="M41" s="159">
        <v>12</v>
      </c>
      <c r="N41" s="159">
        <v>6</v>
      </c>
      <c r="O41" s="159">
        <v>6</v>
      </c>
      <c r="P41" s="159">
        <v>8</v>
      </c>
      <c r="Q41" s="159">
        <v>4</v>
      </c>
      <c r="R41" s="159">
        <v>4</v>
      </c>
      <c r="S41" s="159">
        <v>2</v>
      </c>
      <c r="T41" s="159">
        <v>2</v>
      </c>
      <c r="U41" s="159">
        <v>1</v>
      </c>
      <c r="V41" s="159">
        <v>1</v>
      </c>
      <c r="W41" s="159">
        <v>1</v>
      </c>
      <c r="X41" s="159">
        <v>1</v>
      </c>
      <c r="Y41" s="159">
        <v>0</v>
      </c>
      <c r="Z41" s="159">
        <v>1</v>
      </c>
      <c r="AA41" s="159">
        <v>0</v>
      </c>
      <c r="AB41" s="159">
        <v>0</v>
      </c>
      <c r="AC41" s="159">
        <v>0</v>
      </c>
      <c r="AD41" s="159">
        <v>0</v>
      </c>
      <c r="AE41" s="159">
        <v>0</v>
      </c>
      <c r="AF41" s="159">
        <f>SUM(H41,J41,L41,N41,P41,R41,T41,V41,X41,Z41)</f>
        <v>79</v>
      </c>
    </row>
    <row r="42" spans="1:32" s="141" customFormat="1" ht="55.5" customHeight="1" x14ac:dyDescent="0.25">
      <c r="A42" s="214">
        <v>23</v>
      </c>
      <c r="B42" s="252" t="s">
        <v>215</v>
      </c>
      <c r="C42" s="159" t="s">
        <v>214</v>
      </c>
      <c r="D42" s="252" t="s">
        <v>213</v>
      </c>
      <c r="E42" s="164" t="s">
        <v>212</v>
      </c>
      <c r="F42" s="164">
        <v>1051.3800000000001</v>
      </c>
      <c r="G42" s="164">
        <v>1051.3800000000001</v>
      </c>
      <c r="H42" s="164">
        <f t="shared" ref="H42:AE42" si="3">H44+H45+H46+H47</f>
        <v>822.98</v>
      </c>
      <c r="I42" s="164">
        <f t="shared" si="3"/>
        <v>410.5</v>
      </c>
      <c r="J42" s="164">
        <f t="shared" si="3"/>
        <v>1488.2</v>
      </c>
      <c r="K42" s="164">
        <f t="shared" si="3"/>
        <v>689.9</v>
      </c>
      <c r="L42" s="164">
        <f t="shared" si="3"/>
        <v>2093.5100000000002</v>
      </c>
      <c r="M42" s="164">
        <f t="shared" si="3"/>
        <v>693.8</v>
      </c>
      <c r="N42" s="164">
        <f t="shared" si="3"/>
        <v>1786.2</v>
      </c>
      <c r="O42" s="164">
        <f t="shared" si="3"/>
        <v>633</v>
      </c>
      <c r="P42" s="164">
        <f t="shared" si="3"/>
        <v>2437.1999999999998</v>
      </c>
      <c r="Q42" s="164">
        <f t="shared" si="3"/>
        <v>1032.9000000000001</v>
      </c>
      <c r="R42" s="164">
        <f t="shared" si="3"/>
        <v>2413.84</v>
      </c>
      <c r="S42" s="164">
        <f t="shared" si="3"/>
        <v>1207.52</v>
      </c>
      <c r="T42" s="164">
        <f t="shared" si="3"/>
        <v>3808.0800000000004</v>
      </c>
      <c r="U42" s="164">
        <f t="shared" si="3"/>
        <v>1904.05</v>
      </c>
      <c r="V42" s="164">
        <f t="shared" si="3"/>
        <v>3246.24</v>
      </c>
      <c r="W42" s="164">
        <f t="shared" si="3"/>
        <v>1622.95</v>
      </c>
      <c r="X42" s="164">
        <f t="shared" si="3"/>
        <v>2046.48</v>
      </c>
      <c r="Y42" s="164">
        <f t="shared" si="3"/>
        <v>1023.52</v>
      </c>
      <c r="Z42" s="164">
        <f t="shared" si="3"/>
        <v>2007.54</v>
      </c>
      <c r="AA42" s="164">
        <f t="shared" si="3"/>
        <v>1003.52</v>
      </c>
      <c r="AB42" s="164">
        <f t="shared" si="3"/>
        <v>1970.15</v>
      </c>
      <c r="AC42" s="164">
        <f t="shared" si="3"/>
        <v>985.07500000000005</v>
      </c>
      <c r="AD42" s="164">
        <f t="shared" si="3"/>
        <v>1970.15</v>
      </c>
      <c r="AE42" s="164">
        <f t="shared" si="3"/>
        <v>985.07500000000005</v>
      </c>
      <c r="AF42" s="164">
        <f>SUM(AF44:AF47)</f>
        <v>26090.570000000003</v>
      </c>
    </row>
    <row r="43" spans="1:32" s="141" customFormat="1" ht="21.75" customHeight="1" x14ac:dyDescent="0.25">
      <c r="A43" s="214"/>
      <c r="B43" s="252"/>
      <c r="C43" s="159" t="s">
        <v>41</v>
      </c>
      <c r="D43" s="252"/>
      <c r="E43" s="253"/>
      <c r="F43" s="253"/>
      <c r="G43" s="253"/>
      <c r="H43" s="253"/>
      <c r="I43" s="253"/>
      <c r="J43" s="253"/>
      <c r="K43" s="253"/>
      <c r="L43" s="253"/>
      <c r="M43" s="253"/>
      <c r="N43" s="253"/>
      <c r="O43" s="253"/>
      <c r="P43" s="253"/>
      <c r="Q43" s="253"/>
      <c r="R43" s="253"/>
      <c r="S43" s="253"/>
      <c r="T43" s="253"/>
      <c r="U43" s="253"/>
      <c r="V43" s="253"/>
      <c r="W43" s="253"/>
      <c r="X43" s="253"/>
      <c r="Y43" s="253"/>
      <c r="Z43" s="253"/>
      <c r="AA43" s="253"/>
      <c r="AB43" s="253"/>
      <c r="AC43" s="253"/>
      <c r="AD43" s="253"/>
      <c r="AE43" s="253"/>
      <c r="AF43" s="253"/>
    </row>
    <row r="44" spans="1:32" s="141" customFormat="1" ht="50.25" customHeight="1" x14ac:dyDescent="0.25">
      <c r="A44" s="214"/>
      <c r="B44" s="252"/>
      <c r="C44" s="159" t="s">
        <v>92</v>
      </c>
      <c r="D44" s="252"/>
      <c r="E44" s="253" t="s">
        <v>212</v>
      </c>
      <c r="F44" s="164" t="s">
        <v>26</v>
      </c>
      <c r="G44" s="164" t="s">
        <v>26</v>
      </c>
      <c r="H44" s="164">
        <v>201.6</v>
      </c>
      <c r="I44" s="164">
        <v>100</v>
      </c>
      <c r="J44" s="164">
        <v>413</v>
      </c>
      <c r="K44" s="164">
        <v>206</v>
      </c>
      <c r="L44" s="164">
        <v>407.03</v>
      </c>
      <c r="M44" s="164">
        <v>265.8</v>
      </c>
      <c r="N44" s="164">
        <v>410</v>
      </c>
      <c r="O44" s="164">
        <v>205</v>
      </c>
      <c r="P44" s="164">
        <v>897.2</v>
      </c>
      <c r="Q44" s="164">
        <v>448</v>
      </c>
      <c r="R44" s="164">
        <v>1297.04</v>
      </c>
      <c r="S44" s="164">
        <f>R44/2</f>
        <v>648.52</v>
      </c>
      <c r="T44" s="164">
        <f>688.9+323.3</f>
        <v>1012.2</v>
      </c>
      <c r="U44" s="164">
        <f>T44/2</f>
        <v>506.1</v>
      </c>
      <c r="V44" s="164">
        <v>1106.3</v>
      </c>
      <c r="W44" s="164">
        <f>V44/2</f>
        <v>553.15</v>
      </c>
      <c r="X44" s="164">
        <v>695.04</v>
      </c>
      <c r="Y44" s="164">
        <f>X44/2</f>
        <v>347.52</v>
      </c>
      <c r="Z44" s="164">
        <v>695.04</v>
      </c>
      <c r="AA44" s="164">
        <f>Z44/2</f>
        <v>347.52</v>
      </c>
      <c r="AB44" s="164">
        <v>695.04</v>
      </c>
      <c r="AC44" s="164">
        <f>AB44/2</f>
        <v>347.52</v>
      </c>
      <c r="AD44" s="164">
        <v>695.04</v>
      </c>
      <c r="AE44" s="164">
        <f>AD44/2</f>
        <v>347.52</v>
      </c>
      <c r="AF44" s="164">
        <f>AD44+AB44+Z44+X44+V44+T44+R44+P44+N44+L44+J44+H44</f>
        <v>8524.5300000000007</v>
      </c>
    </row>
    <row r="45" spans="1:32" s="141" customFormat="1" ht="50.25" customHeight="1" x14ac:dyDescent="0.25">
      <c r="A45" s="214"/>
      <c r="B45" s="252"/>
      <c r="C45" s="159" t="s">
        <v>43</v>
      </c>
      <c r="D45" s="252"/>
      <c r="E45" s="253"/>
      <c r="F45" s="164" t="s">
        <v>26</v>
      </c>
      <c r="G45" s="164" t="s">
        <v>26</v>
      </c>
      <c r="H45" s="164">
        <v>25.56</v>
      </c>
      <c r="I45" s="164">
        <v>12.5</v>
      </c>
      <c r="J45" s="164">
        <v>273.2</v>
      </c>
      <c r="K45" s="164">
        <v>82</v>
      </c>
      <c r="L45" s="164">
        <v>391.28</v>
      </c>
      <c r="M45" s="164">
        <v>82</v>
      </c>
      <c r="N45" s="164">
        <v>273.2</v>
      </c>
      <c r="O45" s="164">
        <v>82</v>
      </c>
      <c r="P45" s="164">
        <v>181.8</v>
      </c>
      <c r="Q45" s="164">
        <v>90.9</v>
      </c>
      <c r="R45" s="164">
        <v>181.8</v>
      </c>
      <c r="S45" s="164">
        <f>ROUND((R45/2),0)</f>
        <v>91</v>
      </c>
      <c r="T45" s="164">
        <f>250+385.24</f>
        <v>635.24</v>
      </c>
      <c r="U45" s="164">
        <f>ROUND((T45/2),0)</f>
        <v>318</v>
      </c>
      <c r="V45" s="164">
        <v>616.52</v>
      </c>
      <c r="W45" s="164">
        <f>ROUND((V45/2),0)</f>
        <v>308</v>
      </c>
      <c r="X45" s="164">
        <v>401.44</v>
      </c>
      <c r="Y45" s="164">
        <f>ROUND((X45/2),0)</f>
        <v>201</v>
      </c>
      <c r="Z45" s="164">
        <v>382.5</v>
      </c>
      <c r="AA45" s="164">
        <f>ROUND((Z45/2),0)</f>
        <v>191</v>
      </c>
      <c r="AB45" s="164">
        <v>365.11</v>
      </c>
      <c r="AC45" s="164">
        <f>AB45/2</f>
        <v>182.55500000000001</v>
      </c>
      <c r="AD45" s="164">
        <v>365.11</v>
      </c>
      <c r="AE45" s="164">
        <f>AD45/2</f>
        <v>182.55500000000001</v>
      </c>
      <c r="AF45" s="164">
        <f t="shared" ref="AF45:AF47" si="4">AD45+AB45+Z45+X45+V45+T45+R45+P45+N45+L45+J45+H45</f>
        <v>4092.7599999999998</v>
      </c>
    </row>
    <row r="46" spans="1:32" s="141" customFormat="1" ht="50.25" customHeight="1" x14ac:dyDescent="0.25">
      <c r="A46" s="214"/>
      <c r="B46" s="252"/>
      <c r="C46" s="159" t="s">
        <v>44</v>
      </c>
      <c r="D46" s="252"/>
      <c r="E46" s="253"/>
      <c r="F46" s="164" t="s">
        <v>26</v>
      </c>
      <c r="G46" s="164" t="s">
        <v>26</v>
      </c>
      <c r="H46" s="164">
        <v>420.18</v>
      </c>
      <c r="I46" s="164">
        <v>210</v>
      </c>
      <c r="J46" s="164">
        <v>443.8</v>
      </c>
      <c r="K46" s="164">
        <v>221.9</v>
      </c>
      <c r="L46" s="164">
        <v>740.4</v>
      </c>
      <c r="M46" s="164">
        <v>246</v>
      </c>
      <c r="N46" s="164">
        <v>753</v>
      </c>
      <c r="O46" s="164">
        <v>246</v>
      </c>
      <c r="P46" s="164">
        <v>817</v>
      </c>
      <c r="Q46" s="164">
        <v>284</v>
      </c>
      <c r="R46" s="164">
        <v>635</v>
      </c>
      <c r="S46" s="164">
        <f>ROUND((R46/2),0)</f>
        <v>318</v>
      </c>
      <c r="T46" s="164">
        <v>1306.74</v>
      </c>
      <c r="U46" s="164">
        <f>ROUND((T46/2),0)</f>
        <v>653</v>
      </c>
      <c r="V46" s="164">
        <v>1021.82</v>
      </c>
      <c r="W46" s="164">
        <f>ROUND((V46/2),0)</f>
        <v>511</v>
      </c>
      <c r="X46" s="164">
        <v>660</v>
      </c>
      <c r="Y46" s="164">
        <f>X46/2</f>
        <v>330</v>
      </c>
      <c r="Z46" s="164">
        <v>660</v>
      </c>
      <c r="AA46" s="164">
        <f>Z46/2</f>
        <v>330</v>
      </c>
      <c r="AB46" s="164">
        <v>660</v>
      </c>
      <c r="AC46" s="164">
        <f>AB46/2</f>
        <v>330</v>
      </c>
      <c r="AD46" s="164">
        <v>660</v>
      </c>
      <c r="AE46" s="164">
        <f>AD46/2</f>
        <v>330</v>
      </c>
      <c r="AF46" s="164">
        <f t="shared" si="4"/>
        <v>8777.94</v>
      </c>
    </row>
    <row r="47" spans="1:32" s="141" customFormat="1" ht="50.25" customHeight="1" x14ac:dyDescent="0.25">
      <c r="A47" s="214"/>
      <c r="B47" s="252"/>
      <c r="C47" s="159" t="s">
        <v>45</v>
      </c>
      <c r="D47" s="252"/>
      <c r="E47" s="253"/>
      <c r="F47" s="164" t="s">
        <v>26</v>
      </c>
      <c r="G47" s="164" t="s">
        <v>26</v>
      </c>
      <c r="H47" s="164">
        <v>175.64</v>
      </c>
      <c r="I47" s="164">
        <v>88</v>
      </c>
      <c r="J47" s="164">
        <v>358.2</v>
      </c>
      <c r="K47" s="164">
        <v>180</v>
      </c>
      <c r="L47" s="164">
        <v>554.79999999999995</v>
      </c>
      <c r="M47" s="164">
        <v>100</v>
      </c>
      <c r="N47" s="164">
        <v>350</v>
      </c>
      <c r="O47" s="164">
        <v>100</v>
      </c>
      <c r="P47" s="164">
        <v>541.20000000000005</v>
      </c>
      <c r="Q47" s="164">
        <v>210</v>
      </c>
      <c r="R47" s="164">
        <v>300</v>
      </c>
      <c r="S47" s="164">
        <v>150</v>
      </c>
      <c r="T47" s="164">
        <f>250+603.9</f>
        <v>853.9</v>
      </c>
      <c r="U47" s="164">
        <f>T47/2</f>
        <v>426.95</v>
      </c>
      <c r="V47" s="164">
        <f>215+286.6</f>
        <v>501.6</v>
      </c>
      <c r="W47" s="164">
        <f>V47/2</f>
        <v>250.8</v>
      </c>
      <c r="X47" s="115">
        <v>290</v>
      </c>
      <c r="Y47" s="115">
        <f>X47/2</f>
        <v>145</v>
      </c>
      <c r="Z47" s="115">
        <v>270</v>
      </c>
      <c r="AA47" s="115">
        <f>Z47/2</f>
        <v>135</v>
      </c>
      <c r="AB47" s="115">
        <v>250</v>
      </c>
      <c r="AC47" s="115">
        <f>AB47/2</f>
        <v>125</v>
      </c>
      <c r="AD47" s="115">
        <v>250</v>
      </c>
      <c r="AE47" s="115">
        <f>AD47/2</f>
        <v>125</v>
      </c>
      <c r="AF47" s="164">
        <f t="shared" si="4"/>
        <v>4695.34</v>
      </c>
    </row>
    <row r="48" spans="1:32" s="114" customFormat="1" ht="15.75" customHeight="1" x14ac:dyDescent="0.25">
      <c r="A48" s="214">
        <v>24</v>
      </c>
      <c r="B48" s="249" t="s">
        <v>211</v>
      </c>
      <c r="C48" s="214" t="s">
        <v>210</v>
      </c>
      <c r="D48" s="252" t="s">
        <v>209</v>
      </c>
      <c r="E48" s="214" t="s">
        <v>133</v>
      </c>
      <c r="F48" s="214">
        <v>45</v>
      </c>
      <c r="G48" s="214">
        <v>45</v>
      </c>
      <c r="H48" s="214">
        <v>46</v>
      </c>
      <c r="I48" s="214">
        <v>46</v>
      </c>
      <c r="J48" s="214">
        <v>46</v>
      </c>
      <c r="K48" s="214">
        <v>46</v>
      </c>
      <c r="L48" s="248">
        <v>46</v>
      </c>
      <c r="M48" s="214">
        <v>46</v>
      </c>
      <c r="N48" s="214">
        <v>83</v>
      </c>
      <c r="O48" s="214">
        <v>41</v>
      </c>
      <c r="P48" s="214">
        <v>83</v>
      </c>
      <c r="Q48" s="214">
        <v>41</v>
      </c>
      <c r="R48" s="214">
        <v>83</v>
      </c>
      <c r="S48" s="214">
        <v>41</v>
      </c>
      <c r="T48" s="214">
        <v>83</v>
      </c>
      <c r="U48" s="214">
        <v>41</v>
      </c>
      <c r="V48" s="214">
        <v>83</v>
      </c>
      <c r="W48" s="246">
        <v>41</v>
      </c>
      <c r="X48" s="229">
        <v>83</v>
      </c>
      <c r="Y48" s="229">
        <v>41</v>
      </c>
      <c r="Z48" s="229">
        <v>83</v>
      </c>
      <c r="AA48" s="229">
        <v>41</v>
      </c>
      <c r="AB48" s="229">
        <v>83</v>
      </c>
      <c r="AC48" s="229">
        <v>41</v>
      </c>
      <c r="AD48" s="229">
        <v>83</v>
      </c>
      <c r="AE48" s="229">
        <v>41</v>
      </c>
      <c r="AF48" s="230">
        <v>83</v>
      </c>
    </row>
    <row r="49" spans="1:33" s="114" customFormat="1" ht="54" customHeight="1" x14ac:dyDescent="0.25">
      <c r="A49" s="214"/>
      <c r="B49" s="250"/>
      <c r="C49" s="214"/>
      <c r="D49" s="252"/>
      <c r="E49" s="214"/>
      <c r="F49" s="214"/>
      <c r="G49" s="214"/>
      <c r="H49" s="214"/>
      <c r="I49" s="214"/>
      <c r="J49" s="214"/>
      <c r="K49" s="214"/>
      <c r="L49" s="248"/>
      <c r="M49" s="214"/>
      <c r="N49" s="214"/>
      <c r="O49" s="214"/>
      <c r="P49" s="214"/>
      <c r="Q49" s="214"/>
      <c r="R49" s="214"/>
      <c r="S49" s="214"/>
      <c r="T49" s="214"/>
      <c r="U49" s="214"/>
      <c r="V49" s="214"/>
      <c r="W49" s="214"/>
      <c r="X49" s="247"/>
      <c r="Y49" s="247"/>
      <c r="Z49" s="223"/>
      <c r="AA49" s="223"/>
      <c r="AB49" s="223"/>
      <c r="AC49" s="223"/>
      <c r="AD49" s="223"/>
      <c r="AE49" s="223"/>
      <c r="AF49" s="214"/>
    </row>
    <row r="50" spans="1:33" s="114" customFormat="1" ht="54" customHeight="1" x14ac:dyDescent="0.25">
      <c r="A50" s="214"/>
      <c r="B50" s="251"/>
      <c r="C50" s="214"/>
      <c r="D50" s="163" t="s">
        <v>208</v>
      </c>
      <c r="E50" s="159" t="s">
        <v>155</v>
      </c>
      <c r="F50" s="159" t="s">
        <v>207</v>
      </c>
      <c r="G50" s="159" t="s">
        <v>207</v>
      </c>
      <c r="H50" s="159" t="s">
        <v>207</v>
      </c>
      <c r="I50" s="159" t="s">
        <v>207</v>
      </c>
      <c r="J50" s="159" t="s">
        <v>207</v>
      </c>
      <c r="K50" s="159" t="s">
        <v>207</v>
      </c>
      <c r="L50" s="162" t="s">
        <v>207</v>
      </c>
      <c r="M50" s="159" t="s">
        <v>207</v>
      </c>
      <c r="N50" s="159">
        <v>2</v>
      </c>
      <c r="O50" s="159" t="s">
        <v>207</v>
      </c>
      <c r="P50" s="159" t="s">
        <v>207</v>
      </c>
      <c r="Q50" s="159" t="s">
        <v>207</v>
      </c>
      <c r="R50" s="159" t="s">
        <v>207</v>
      </c>
      <c r="S50" s="159" t="s">
        <v>207</v>
      </c>
      <c r="T50" s="159" t="s">
        <v>207</v>
      </c>
      <c r="U50" s="159" t="s">
        <v>207</v>
      </c>
      <c r="V50" s="159" t="s">
        <v>207</v>
      </c>
      <c r="W50" s="159" t="s">
        <v>207</v>
      </c>
      <c r="X50" s="159" t="s">
        <v>207</v>
      </c>
      <c r="Y50" s="159" t="s">
        <v>207</v>
      </c>
      <c r="Z50" s="159" t="s">
        <v>207</v>
      </c>
      <c r="AA50" s="159" t="s">
        <v>207</v>
      </c>
      <c r="AB50" s="159" t="s">
        <v>207</v>
      </c>
      <c r="AC50" s="159" t="s">
        <v>207</v>
      </c>
      <c r="AD50" s="159" t="s">
        <v>207</v>
      </c>
      <c r="AE50" s="159" t="s">
        <v>207</v>
      </c>
      <c r="AF50" s="159">
        <v>2</v>
      </c>
    </row>
    <row r="51" spans="1:33" s="114" customFormat="1" ht="72" customHeight="1" x14ac:dyDescent="0.25">
      <c r="A51" s="159">
        <v>25</v>
      </c>
      <c r="B51" s="163" t="s">
        <v>206</v>
      </c>
      <c r="C51" s="159" t="s">
        <v>53</v>
      </c>
      <c r="D51" s="160" t="s">
        <v>205</v>
      </c>
      <c r="E51" s="159" t="s">
        <v>133</v>
      </c>
      <c r="F51" s="159">
        <v>26231</v>
      </c>
      <c r="G51" s="159">
        <v>26872</v>
      </c>
      <c r="H51" s="159">
        <v>26872</v>
      </c>
      <c r="I51" s="159">
        <v>26872</v>
      </c>
      <c r="J51" s="159">
        <v>26922</v>
      </c>
      <c r="K51" s="159">
        <v>26922</v>
      </c>
      <c r="L51" s="162">
        <v>26922</v>
      </c>
      <c r="M51" s="159">
        <v>26922</v>
      </c>
      <c r="N51" s="159">
        <v>29970</v>
      </c>
      <c r="O51" s="159">
        <v>29346</v>
      </c>
      <c r="P51" s="159">
        <v>32823</v>
      </c>
      <c r="Q51" s="112">
        <v>16411.5</v>
      </c>
      <c r="R51" s="159">
        <v>32823</v>
      </c>
      <c r="S51" s="112">
        <f>R51/2</f>
        <v>16411.5</v>
      </c>
      <c r="T51" s="159">
        <v>32823</v>
      </c>
      <c r="U51" s="112">
        <f>T51/2</f>
        <v>16411.5</v>
      </c>
      <c r="V51" s="159">
        <v>32823</v>
      </c>
      <c r="W51" s="112">
        <f>V51/2</f>
        <v>16411.5</v>
      </c>
      <c r="X51" s="159">
        <v>32823</v>
      </c>
      <c r="Y51" s="112">
        <f>X51/2</f>
        <v>16411.5</v>
      </c>
      <c r="Z51" s="159">
        <v>32823</v>
      </c>
      <c r="AA51" s="112">
        <f>Z51/2</f>
        <v>16411.5</v>
      </c>
      <c r="AB51" s="159">
        <v>32823</v>
      </c>
      <c r="AC51" s="112">
        <f>AA51</f>
        <v>16411.5</v>
      </c>
      <c r="AD51" s="159">
        <v>32823</v>
      </c>
      <c r="AE51" s="112">
        <f>AC51</f>
        <v>16411.5</v>
      </c>
      <c r="AF51" s="159">
        <f>SUM(H51,J51,L51,N51,P51,R51,T51,V51,X51,Z51,AB51:AD51)</f>
        <v>389681.5</v>
      </c>
    </row>
    <row r="52" spans="1:33" ht="49.5" customHeight="1" x14ac:dyDescent="0.25">
      <c r="A52" s="229">
        <v>26</v>
      </c>
      <c r="B52" s="221" t="s">
        <v>204</v>
      </c>
      <c r="C52" s="232" t="s">
        <v>73</v>
      </c>
      <c r="D52" s="90" t="s">
        <v>203</v>
      </c>
      <c r="E52" s="89" t="s">
        <v>133</v>
      </c>
      <c r="F52" s="88">
        <v>13</v>
      </c>
      <c r="G52" s="88">
        <v>13</v>
      </c>
      <c r="H52" s="88">
        <v>13</v>
      </c>
      <c r="I52" s="86">
        <v>13</v>
      </c>
      <c r="J52" s="86">
        <v>13</v>
      </c>
      <c r="K52" s="86">
        <v>13</v>
      </c>
      <c r="L52" s="87">
        <v>18</v>
      </c>
      <c r="M52" s="86">
        <v>18</v>
      </c>
      <c r="N52" s="86">
        <v>18</v>
      </c>
      <c r="O52" s="86">
        <v>18</v>
      </c>
      <c r="P52" s="86">
        <v>14</v>
      </c>
      <c r="Q52" s="86">
        <v>14</v>
      </c>
      <c r="R52" s="86">
        <v>14</v>
      </c>
      <c r="S52" s="86">
        <v>14</v>
      </c>
      <c r="T52" s="86">
        <v>14</v>
      </c>
      <c r="U52" s="86">
        <v>14</v>
      </c>
      <c r="V52" s="86">
        <v>15</v>
      </c>
      <c r="W52" s="86">
        <v>15</v>
      </c>
      <c r="X52" s="86">
        <v>15</v>
      </c>
      <c r="Y52" s="86">
        <v>15</v>
      </c>
      <c r="Z52" s="86">
        <v>15</v>
      </c>
      <c r="AA52" s="86">
        <v>15</v>
      </c>
      <c r="AB52" s="86">
        <v>15</v>
      </c>
      <c r="AC52" s="86">
        <v>15</v>
      </c>
      <c r="AD52" s="86">
        <v>15</v>
      </c>
      <c r="AE52" s="86">
        <v>15</v>
      </c>
      <c r="AF52" s="86">
        <v>15</v>
      </c>
    </row>
    <row r="53" spans="1:33" ht="49.5" customHeight="1" x14ac:dyDescent="0.25">
      <c r="A53" s="231"/>
      <c r="B53" s="222"/>
      <c r="C53" s="233"/>
      <c r="D53" s="90" t="s">
        <v>202</v>
      </c>
      <c r="E53" s="89" t="s">
        <v>127</v>
      </c>
      <c r="F53" s="88">
        <v>100</v>
      </c>
      <c r="G53" s="88">
        <v>100</v>
      </c>
      <c r="H53" s="88">
        <v>100</v>
      </c>
      <c r="I53" s="86">
        <v>100</v>
      </c>
      <c r="J53" s="86">
        <v>100</v>
      </c>
      <c r="K53" s="86">
        <v>100</v>
      </c>
      <c r="L53" s="87">
        <v>100</v>
      </c>
      <c r="M53" s="86">
        <v>100</v>
      </c>
      <c r="N53" s="86">
        <v>100</v>
      </c>
      <c r="O53" s="86">
        <v>100</v>
      </c>
      <c r="P53" s="86">
        <v>100</v>
      </c>
      <c r="Q53" s="86">
        <v>100</v>
      </c>
      <c r="R53" s="86">
        <v>100</v>
      </c>
      <c r="S53" s="86">
        <v>100</v>
      </c>
      <c r="T53" s="86">
        <v>100</v>
      </c>
      <c r="U53" s="86">
        <v>100</v>
      </c>
      <c r="V53" s="86">
        <v>100</v>
      </c>
      <c r="W53" s="86">
        <v>100</v>
      </c>
      <c r="X53" s="86">
        <v>100</v>
      </c>
      <c r="Y53" s="86">
        <v>100</v>
      </c>
      <c r="Z53" s="86">
        <v>100</v>
      </c>
      <c r="AA53" s="86">
        <v>100</v>
      </c>
      <c r="AB53" s="86">
        <v>100</v>
      </c>
      <c r="AC53" s="86">
        <v>100</v>
      </c>
      <c r="AD53" s="86">
        <v>100</v>
      </c>
      <c r="AE53" s="86">
        <v>100</v>
      </c>
      <c r="AF53" s="86">
        <v>100</v>
      </c>
    </row>
    <row r="54" spans="1:33" ht="27.75" customHeight="1" x14ac:dyDescent="0.25">
      <c r="A54" s="231"/>
      <c r="B54" s="222"/>
      <c r="C54" s="91" t="s">
        <v>201</v>
      </c>
      <c r="D54" s="234" t="s">
        <v>200</v>
      </c>
      <c r="E54" s="89" t="s">
        <v>133</v>
      </c>
      <c r="F54" s="88">
        <f t="shared" ref="F54:AC54" si="5">F56+F57</f>
        <v>12</v>
      </c>
      <c r="G54" s="88">
        <f t="shared" si="5"/>
        <v>12</v>
      </c>
      <c r="H54" s="88">
        <f t="shared" si="5"/>
        <v>12</v>
      </c>
      <c r="I54" s="86">
        <f t="shared" si="5"/>
        <v>6</v>
      </c>
      <c r="J54" s="86">
        <f t="shared" si="5"/>
        <v>42</v>
      </c>
      <c r="K54" s="86">
        <f t="shared" si="5"/>
        <v>21</v>
      </c>
      <c r="L54" s="87">
        <f t="shared" si="5"/>
        <v>24</v>
      </c>
      <c r="M54" s="87">
        <f t="shared" si="5"/>
        <v>18</v>
      </c>
      <c r="N54" s="87">
        <f t="shared" si="5"/>
        <v>42</v>
      </c>
      <c r="O54" s="87">
        <f t="shared" si="5"/>
        <v>21</v>
      </c>
      <c r="P54" s="86">
        <f t="shared" si="5"/>
        <v>57</v>
      </c>
      <c r="Q54" s="86">
        <f t="shared" si="5"/>
        <v>26</v>
      </c>
      <c r="R54" s="86">
        <f t="shared" si="5"/>
        <v>57</v>
      </c>
      <c r="S54" s="95">
        <f t="shared" si="5"/>
        <v>28.5</v>
      </c>
      <c r="T54" s="95">
        <f t="shared" si="5"/>
        <v>24</v>
      </c>
      <c r="U54" s="95">
        <f t="shared" si="5"/>
        <v>12</v>
      </c>
      <c r="V54" s="95">
        <f t="shared" si="5"/>
        <v>24</v>
      </c>
      <c r="W54" s="95">
        <f t="shared" si="5"/>
        <v>12</v>
      </c>
      <c r="X54" s="95">
        <f t="shared" si="5"/>
        <v>24</v>
      </c>
      <c r="Y54" s="86">
        <f t="shared" si="5"/>
        <v>12</v>
      </c>
      <c r="Z54" s="86">
        <f t="shared" si="5"/>
        <v>24</v>
      </c>
      <c r="AA54" s="86">
        <f t="shared" si="5"/>
        <v>12</v>
      </c>
      <c r="AB54" s="86">
        <f t="shared" si="5"/>
        <v>24</v>
      </c>
      <c r="AC54" s="86">
        <f t="shared" si="5"/>
        <v>12</v>
      </c>
      <c r="AD54" s="86">
        <v>24</v>
      </c>
      <c r="AE54" s="86">
        <v>12</v>
      </c>
      <c r="AF54" s="112">
        <f>SUM(H54,J54,L54,N54,P54,R54,T54,V54,X54,Z54,AB54,AD54)</f>
        <v>378</v>
      </c>
      <c r="AG54" s="113"/>
    </row>
    <row r="55" spans="1:33" ht="13.5" customHeight="1" x14ac:dyDescent="0.25">
      <c r="A55" s="231"/>
      <c r="B55" s="222"/>
      <c r="C55" s="91" t="s">
        <v>41</v>
      </c>
      <c r="D55" s="235"/>
      <c r="E55" s="237"/>
      <c r="F55" s="238"/>
      <c r="G55" s="238"/>
      <c r="H55" s="238"/>
      <c r="I55" s="238"/>
      <c r="J55" s="238"/>
      <c r="K55" s="238"/>
      <c r="L55" s="238"/>
      <c r="M55" s="238"/>
      <c r="N55" s="238"/>
      <c r="O55" s="238"/>
      <c r="P55" s="238"/>
      <c r="Q55" s="238"/>
      <c r="R55" s="238"/>
      <c r="S55" s="238"/>
      <c r="T55" s="238"/>
      <c r="U55" s="238"/>
      <c r="V55" s="238"/>
      <c r="W55" s="238"/>
      <c r="X55" s="238"/>
      <c r="Y55" s="238"/>
      <c r="Z55" s="238"/>
      <c r="AA55" s="238"/>
      <c r="AB55" s="238"/>
      <c r="AC55" s="238"/>
      <c r="AD55" s="238"/>
      <c r="AE55" s="238"/>
      <c r="AF55" s="239"/>
    </row>
    <row r="56" spans="1:33" ht="19.5" customHeight="1" x14ac:dyDescent="0.25">
      <c r="A56" s="231"/>
      <c r="B56" s="222"/>
      <c r="C56" s="91" t="s">
        <v>43</v>
      </c>
      <c r="D56" s="235"/>
      <c r="E56" s="240" t="s">
        <v>133</v>
      </c>
      <c r="F56" s="88">
        <v>6</v>
      </c>
      <c r="G56" s="88">
        <v>6</v>
      </c>
      <c r="H56" s="88">
        <v>6</v>
      </c>
      <c r="I56" s="86">
        <v>3</v>
      </c>
      <c r="J56" s="86">
        <v>30</v>
      </c>
      <c r="K56" s="86">
        <v>15</v>
      </c>
      <c r="L56" s="87">
        <v>12</v>
      </c>
      <c r="M56" s="86">
        <v>12</v>
      </c>
      <c r="N56" s="86">
        <v>30</v>
      </c>
      <c r="O56" s="86">
        <v>15</v>
      </c>
      <c r="P56" s="86">
        <v>45</v>
      </c>
      <c r="Q56" s="86">
        <v>20</v>
      </c>
      <c r="R56" s="86">
        <v>45</v>
      </c>
      <c r="S56" s="112">
        <f>R56/2</f>
        <v>22.5</v>
      </c>
      <c r="T56" s="86">
        <v>12</v>
      </c>
      <c r="U56" s="112">
        <f>T56/2</f>
        <v>6</v>
      </c>
      <c r="V56" s="86">
        <v>12</v>
      </c>
      <c r="W56" s="112">
        <f>V56/2</f>
        <v>6</v>
      </c>
      <c r="X56" s="86">
        <v>12</v>
      </c>
      <c r="Y56" s="112">
        <f>X56/2</f>
        <v>6</v>
      </c>
      <c r="Z56" s="112">
        <v>12</v>
      </c>
      <c r="AA56" s="112">
        <v>6</v>
      </c>
      <c r="AB56" s="112">
        <v>12</v>
      </c>
      <c r="AC56" s="112">
        <v>6</v>
      </c>
      <c r="AD56" s="112">
        <v>12</v>
      </c>
      <c r="AE56" s="112">
        <v>6</v>
      </c>
      <c r="AF56" s="112">
        <f>SUM(H56,J56,L56,N56,P56,R56,T56,V56,X56,Z56,AB56,AD56)</f>
        <v>240</v>
      </c>
    </row>
    <row r="57" spans="1:33" ht="19.5" customHeight="1" x14ac:dyDescent="0.25">
      <c r="A57" s="231"/>
      <c r="B57" s="222"/>
      <c r="C57" s="91" t="s">
        <v>44</v>
      </c>
      <c r="D57" s="236"/>
      <c r="E57" s="241"/>
      <c r="F57" s="88">
        <v>6</v>
      </c>
      <c r="G57" s="88">
        <v>6</v>
      </c>
      <c r="H57" s="88">
        <v>6</v>
      </c>
      <c r="I57" s="86">
        <v>3</v>
      </c>
      <c r="J57" s="86">
        <v>12</v>
      </c>
      <c r="K57" s="86">
        <v>6</v>
      </c>
      <c r="L57" s="87">
        <v>12</v>
      </c>
      <c r="M57" s="86">
        <v>6</v>
      </c>
      <c r="N57" s="86">
        <v>12</v>
      </c>
      <c r="O57" s="86">
        <v>6</v>
      </c>
      <c r="P57" s="86">
        <v>12</v>
      </c>
      <c r="Q57" s="86">
        <v>6</v>
      </c>
      <c r="R57" s="86">
        <v>12</v>
      </c>
      <c r="S57" s="86">
        <v>6</v>
      </c>
      <c r="T57" s="86">
        <v>12</v>
      </c>
      <c r="U57" s="86">
        <v>6</v>
      </c>
      <c r="V57" s="86">
        <v>12</v>
      </c>
      <c r="W57" s="86">
        <v>6</v>
      </c>
      <c r="X57" s="86">
        <v>12</v>
      </c>
      <c r="Y57" s="86">
        <v>6</v>
      </c>
      <c r="Z57" s="86">
        <v>12</v>
      </c>
      <c r="AA57" s="86">
        <v>6</v>
      </c>
      <c r="AB57" s="86">
        <v>12</v>
      </c>
      <c r="AC57" s="86">
        <v>6</v>
      </c>
      <c r="AD57" s="86">
        <v>12</v>
      </c>
      <c r="AE57" s="86">
        <v>6</v>
      </c>
      <c r="AF57" s="112">
        <f>SUM(H57,J57,L57,N57,P57,R57,T57,V57,X57,Z57,AB57,AD57)</f>
        <v>138</v>
      </c>
    </row>
    <row r="58" spans="1:33" ht="40.5" customHeight="1" x14ac:dyDescent="0.25">
      <c r="A58" s="231"/>
      <c r="B58" s="222"/>
      <c r="C58" s="91" t="s">
        <v>199</v>
      </c>
      <c r="D58" s="242" t="s">
        <v>198</v>
      </c>
      <c r="E58" s="89" t="s">
        <v>197</v>
      </c>
      <c r="F58" s="88">
        <v>12</v>
      </c>
      <c r="G58" s="88">
        <v>12</v>
      </c>
      <c r="H58" s="88">
        <v>12</v>
      </c>
      <c r="I58" s="88">
        <v>6</v>
      </c>
      <c r="J58" s="86">
        <v>12</v>
      </c>
      <c r="K58" s="88">
        <v>6</v>
      </c>
      <c r="L58" s="87">
        <v>12</v>
      </c>
      <c r="M58" s="88">
        <v>6</v>
      </c>
      <c r="N58" s="86">
        <v>12</v>
      </c>
      <c r="O58" s="88">
        <v>6</v>
      </c>
      <c r="P58" s="86">
        <v>12</v>
      </c>
      <c r="Q58" s="88">
        <v>6</v>
      </c>
      <c r="R58" s="86">
        <v>12</v>
      </c>
      <c r="S58" s="88">
        <v>6</v>
      </c>
      <c r="T58" s="86">
        <v>12</v>
      </c>
      <c r="U58" s="88">
        <v>6</v>
      </c>
      <c r="V58" s="86">
        <v>12</v>
      </c>
      <c r="W58" s="88">
        <v>6</v>
      </c>
      <c r="X58" s="88">
        <v>12</v>
      </c>
      <c r="Y58" s="88">
        <v>6</v>
      </c>
      <c r="Z58" s="88">
        <v>12</v>
      </c>
      <c r="AA58" s="88">
        <v>6</v>
      </c>
      <c r="AB58" s="88">
        <v>12</v>
      </c>
      <c r="AC58" s="88">
        <v>6</v>
      </c>
      <c r="AD58" s="88">
        <v>12</v>
      </c>
      <c r="AE58" s="88">
        <v>6</v>
      </c>
      <c r="AF58" s="112">
        <f>SUM(H58,J58,L58,N58,P58,R58,T58,V58,X58,Z58,AB58,AD58)</f>
        <v>144</v>
      </c>
    </row>
    <row r="59" spans="1:33" ht="12" customHeight="1" x14ac:dyDescent="0.25">
      <c r="A59" s="231"/>
      <c r="B59" s="222"/>
      <c r="C59" s="91" t="s">
        <v>41</v>
      </c>
      <c r="D59" s="243"/>
      <c r="E59" s="237"/>
      <c r="F59" s="238"/>
      <c r="G59" s="238"/>
      <c r="H59" s="238"/>
      <c r="I59" s="238"/>
      <c r="J59" s="238"/>
      <c r="K59" s="238"/>
      <c r="L59" s="238"/>
      <c r="M59" s="238"/>
      <c r="N59" s="238"/>
      <c r="O59" s="238"/>
      <c r="P59" s="238"/>
      <c r="Q59" s="238"/>
      <c r="R59" s="238"/>
      <c r="S59" s="238"/>
      <c r="T59" s="238"/>
      <c r="U59" s="238"/>
      <c r="V59" s="238"/>
      <c r="W59" s="238"/>
      <c r="X59" s="238"/>
      <c r="Y59" s="238"/>
      <c r="Z59" s="238"/>
      <c r="AA59" s="238"/>
      <c r="AB59" s="238"/>
      <c r="AC59" s="238"/>
      <c r="AD59" s="238"/>
      <c r="AE59" s="238"/>
      <c r="AF59" s="239"/>
    </row>
    <row r="60" spans="1:33" ht="21" customHeight="1" x14ac:dyDescent="0.25">
      <c r="A60" s="231"/>
      <c r="B60" s="222"/>
      <c r="C60" s="91" t="s">
        <v>92</v>
      </c>
      <c r="D60" s="243"/>
      <c r="E60" s="240" t="s">
        <v>197</v>
      </c>
      <c r="F60" s="88">
        <v>12</v>
      </c>
      <c r="G60" s="88">
        <v>12</v>
      </c>
      <c r="H60" s="88">
        <v>12</v>
      </c>
      <c r="I60" s="88">
        <v>6</v>
      </c>
      <c r="J60" s="86">
        <v>12</v>
      </c>
      <c r="K60" s="88">
        <v>6</v>
      </c>
      <c r="L60" s="87">
        <v>12</v>
      </c>
      <c r="M60" s="88">
        <v>6</v>
      </c>
      <c r="N60" s="86">
        <v>12</v>
      </c>
      <c r="O60" s="88">
        <v>6</v>
      </c>
      <c r="P60" s="86">
        <v>12</v>
      </c>
      <c r="Q60" s="86">
        <v>6</v>
      </c>
      <c r="R60" s="86">
        <v>12</v>
      </c>
      <c r="S60" s="86">
        <v>6</v>
      </c>
      <c r="T60" s="86">
        <v>12</v>
      </c>
      <c r="U60" s="86">
        <v>6</v>
      </c>
      <c r="V60" s="86">
        <v>12</v>
      </c>
      <c r="W60" s="86">
        <v>6</v>
      </c>
      <c r="X60" s="86">
        <v>12</v>
      </c>
      <c r="Y60" s="86">
        <v>6</v>
      </c>
      <c r="Z60" s="86">
        <v>12</v>
      </c>
      <c r="AA60" s="86">
        <v>6</v>
      </c>
      <c r="AB60" s="86">
        <v>12</v>
      </c>
      <c r="AC60" s="86">
        <v>6</v>
      </c>
      <c r="AD60" s="86">
        <v>12</v>
      </c>
      <c r="AE60" s="86">
        <v>6</v>
      </c>
      <c r="AF60" s="86">
        <v>12</v>
      </c>
    </row>
    <row r="61" spans="1:33" ht="21" customHeight="1" x14ac:dyDescent="0.25">
      <c r="A61" s="231"/>
      <c r="B61" s="222"/>
      <c r="C61" s="91" t="s">
        <v>43</v>
      </c>
      <c r="D61" s="243"/>
      <c r="E61" s="245"/>
      <c r="F61" s="88">
        <v>12</v>
      </c>
      <c r="G61" s="88">
        <v>12</v>
      </c>
      <c r="H61" s="88">
        <v>12</v>
      </c>
      <c r="I61" s="88">
        <v>6</v>
      </c>
      <c r="J61" s="86">
        <v>12</v>
      </c>
      <c r="K61" s="88">
        <v>6</v>
      </c>
      <c r="L61" s="87">
        <v>12</v>
      </c>
      <c r="M61" s="88">
        <v>6</v>
      </c>
      <c r="N61" s="86">
        <v>12</v>
      </c>
      <c r="O61" s="88">
        <v>6</v>
      </c>
      <c r="P61" s="86">
        <v>12</v>
      </c>
      <c r="Q61" s="86">
        <v>6</v>
      </c>
      <c r="R61" s="86">
        <v>12</v>
      </c>
      <c r="S61" s="86">
        <v>6</v>
      </c>
      <c r="T61" s="86">
        <v>12</v>
      </c>
      <c r="U61" s="86">
        <v>6</v>
      </c>
      <c r="V61" s="86">
        <v>12</v>
      </c>
      <c r="W61" s="86">
        <v>6</v>
      </c>
      <c r="X61" s="86">
        <v>12</v>
      </c>
      <c r="Y61" s="86">
        <v>6</v>
      </c>
      <c r="Z61" s="86">
        <v>12</v>
      </c>
      <c r="AA61" s="86">
        <v>6</v>
      </c>
      <c r="AB61" s="86">
        <v>12</v>
      </c>
      <c r="AC61" s="86">
        <v>6</v>
      </c>
      <c r="AD61" s="86">
        <v>12</v>
      </c>
      <c r="AE61" s="86">
        <v>6</v>
      </c>
      <c r="AF61" s="86">
        <v>12</v>
      </c>
    </row>
    <row r="62" spans="1:33" ht="21" customHeight="1" x14ac:dyDescent="0.25">
      <c r="A62" s="231"/>
      <c r="B62" s="222"/>
      <c r="C62" s="91" t="s">
        <v>44</v>
      </c>
      <c r="D62" s="243"/>
      <c r="E62" s="245"/>
      <c r="F62" s="88">
        <v>12</v>
      </c>
      <c r="G62" s="88">
        <v>12</v>
      </c>
      <c r="H62" s="88">
        <v>12</v>
      </c>
      <c r="I62" s="88">
        <v>6</v>
      </c>
      <c r="J62" s="86">
        <v>12</v>
      </c>
      <c r="K62" s="88">
        <v>6</v>
      </c>
      <c r="L62" s="87">
        <v>12</v>
      </c>
      <c r="M62" s="88">
        <v>6</v>
      </c>
      <c r="N62" s="86">
        <v>12</v>
      </c>
      <c r="O62" s="88">
        <v>6</v>
      </c>
      <c r="P62" s="86">
        <v>12</v>
      </c>
      <c r="Q62" s="86">
        <v>6</v>
      </c>
      <c r="R62" s="86">
        <v>12</v>
      </c>
      <c r="S62" s="86">
        <v>6</v>
      </c>
      <c r="T62" s="86">
        <v>12</v>
      </c>
      <c r="U62" s="86">
        <v>6</v>
      </c>
      <c r="V62" s="86">
        <v>12</v>
      </c>
      <c r="W62" s="86">
        <v>6</v>
      </c>
      <c r="X62" s="86">
        <v>12</v>
      </c>
      <c r="Y62" s="86">
        <v>6</v>
      </c>
      <c r="Z62" s="86">
        <v>12</v>
      </c>
      <c r="AA62" s="86">
        <v>6</v>
      </c>
      <c r="AB62" s="86">
        <v>12</v>
      </c>
      <c r="AC62" s="86">
        <v>6</v>
      </c>
      <c r="AD62" s="86">
        <v>12</v>
      </c>
      <c r="AE62" s="86">
        <v>6</v>
      </c>
      <c r="AF62" s="86">
        <v>12</v>
      </c>
    </row>
    <row r="63" spans="1:33" ht="18.75" customHeight="1" x14ac:dyDescent="0.25">
      <c r="A63" s="231"/>
      <c r="B63" s="222"/>
      <c r="C63" s="91" t="s">
        <v>45</v>
      </c>
      <c r="D63" s="244"/>
      <c r="E63" s="241"/>
      <c r="F63" s="88">
        <v>12</v>
      </c>
      <c r="G63" s="88">
        <v>12</v>
      </c>
      <c r="H63" s="88">
        <v>12</v>
      </c>
      <c r="I63" s="88">
        <v>6</v>
      </c>
      <c r="J63" s="88">
        <v>12</v>
      </c>
      <c r="K63" s="88">
        <v>6</v>
      </c>
      <c r="L63" s="88">
        <v>12</v>
      </c>
      <c r="M63" s="88">
        <v>6</v>
      </c>
      <c r="N63" s="88">
        <v>12</v>
      </c>
      <c r="O63" s="88">
        <v>6</v>
      </c>
      <c r="P63" s="88">
        <v>12</v>
      </c>
      <c r="Q63" s="88">
        <v>6</v>
      </c>
      <c r="R63" s="88">
        <v>12</v>
      </c>
      <c r="S63" s="88">
        <v>6</v>
      </c>
      <c r="T63" s="86">
        <v>12</v>
      </c>
      <c r="U63" s="86">
        <v>6</v>
      </c>
      <c r="V63" s="86">
        <v>12</v>
      </c>
      <c r="W63" s="86">
        <v>6</v>
      </c>
      <c r="X63" s="86">
        <v>12</v>
      </c>
      <c r="Y63" s="86">
        <v>6</v>
      </c>
      <c r="Z63" s="86">
        <v>12</v>
      </c>
      <c r="AA63" s="86">
        <v>6</v>
      </c>
      <c r="AB63" s="86">
        <v>12</v>
      </c>
      <c r="AC63" s="86">
        <v>6</v>
      </c>
      <c r="AD63" s="86">
        <v>12</v>
      </c>
      <c r="AE63" s="86">
        <v>6</v>
      </c>
      <c r="AF63" s="88">
        <v>12</v>
      </c>
    </row>
    <row r="64" spans="1:33" ht="38.25" x14ac:dyDescent="0.25">
      <c r="A64" s="231"/>
      <c r="B64" s="222"/>
      <c r="C64" s="91" t="s">
        <v>53</v>
      </c>
      <c r="D64" s="90" t="s">
        <v>196</v>
      </c>
      <c r="E64" s="103" t="s">
        <v>195</v>
      </c>
      <c r="F64" s="88">
        <v>24</v>
      </c>
      <c r="G64" s="88">
        <v>24</v>
      </c>
      <c r="H64" s="88">
        <v>24</v>
      </c>
      <c r="I64" s="86">
        <v>24</v>
      </c>
      <c r="J64" s="86">
        <v>24</v>
      </c>
      <c r="K64" s="86">
        <v>24</v>
      </c>
      <c r="L64" s="87">
        <v>24</v>
      </c>
      <c r="M64" s="86">
        <v>24</v>
      </c>
      <c r="N64" s="86">
        <v>24</v>
      </c>
      <c r="O64" s="86">
        <v>24</v>
      </c>
      <c r="P64" s="86">
        <v>24</v>
      </c>
      <c r="Q64" s="86">
        <v>24</v>
      </c>
      <c r="R64" s="86">
        <v>24</v>
      </c>
      <c r="S64" s="86">
        <v>24</v>
      </c>
      <c r="T64" s="86">
        <v>24</v>
      </c>
      <c r="U64" s="86">
        <v>24</v>
      </c>
      <c r="V64" s="86">
        <v>24</v>
      </c>
      <c r="W64" s="86">
        <v>24</v>
      </c>
      <c r="X64" s="86">
        <v>24</v>
      </c>
      <c r="Y64" s="86">
        <v>24</v>
      </c>
      <c r="Z64" s="86">
        <v>24</v>
      </c>
      <c r="AA64" s="86">
        <v>24</v>
      </c>
      <c r="AB64" s="86">
        <v>24</v>
      </c>
      <c r="AC64" s="86">
        <v>24</v>
      </c>
      <c r="AD64" s="86">
        <v>24</v>
      </c>
      <c r="AE64" s="86">
        <v>24</v>
      </c>
      <c r="AF64" s="86">
        <v>24</v>
      </c>
    </row>
    <row r="65" spans="1:33" ht="45" customHeight="1" x14ac:dyDescent="0.25">
      <c r="A65" s="231"/>
      <c r="B65" s="222"/>
      <c r="C65" s="91" t="s">
        <v>53</v>
      </c>
      <c r="D65" s="90" t="s">
        <v>194</v>
      </c>
      <c r="E65" s="103" t="s">
        <v>192</v>
      </c>
      <c r="F65" s="106">
        <v>12000</v>
      </c>
      <c r="G65" s="106">
        <v>12000</v>
      </c>
      <c r="H65" s="111">
        <v>12545.8</v>
      </c>
      <c r="I65" s="86">
        <v>0</v>
      </c>
      <c r="J65" s="86">
        <v>0</v>
      </c>
      <c r="K65" s="86">
        <v>0</v>
      </c>
      <c r="L65" s="87">
        <v>0</v>
      </c>
      <c r="M65" s="86">
        <v>0</v>
      </c>
      <c r="N65" s="86">
        <v>0</v>
      </c>
      <c r="O65" s="86">
        <v>0</v>
      </c>
      <c r="P65" s="86">
        <v>0</v>
      </c>
      <c r="Q65" s="86">
        <v>0</v>
      </c>
      <c r="R65" s="86">
        <v>0</v>
      </c>
      <c r="S65" s="86">
        <v>0</v>
      </c>
      <c r="T65" s="86">
        <v>0</v>
      </c>
      <c r="U65" s="86">
        <v>0</v>
      </c>
      <c r="V65" s="86">
        <v>0</v>
      </c>
      <c r="W65" s="86">
        <v>0</v>
      </c>
      <c r="X65" s="86">
        <v>0</v>
      </c>
      <c r="Y65" s="86">
        <v>0</v>
      </c>
      <c r="Z65" s="86">
        <v>0</v>
      </c>
      <c r="AA65" s="86">
        <v>0</v>
      </c>
      <c r="AB65" s="86">
        <v>0</v>
      </c>
      <c r="AC65" s="86">
        <v>0</v>
      </c>
      <c r="AD65" s="86">
        <v>0</v>
      </c>
      <c r="AE65" s="86">
        <v>0</v>
      </c>
      <c r="AF65" s="111">
        <v>12545.8</v>
      </c>
    </row>
    <row r="66" spans="1:33" ht="39.75" customHeight="1" x14ac:dyDescent="0.25">
      <c r="A66" s="231"/>
      <c r="B66" s="222"/>
      <c r="C66" s="91" t="s">
        <v>53</v>
      </c>
      <c r="D66" s="90" t="s">
        <v>193</v>
      </c>
      <c r="E66" s="103" t="s">
        <v>192</v>
      </c>
      <c r="F66" s="106">
        <v>0</v>
      </c>
      <c r="G66" s="106">
        <v>0</v>
      </c>
      <c r="H66" s="111">
        <v>33450</v>
      </c>
      <c r="I66" s="86">
        <v>0</v>
      </c>
      <c r="J66" s="86">
        <v>0</v>
      </c>
      <c r="K66" s="86">
        <v>0</v>
      </c>
      <c r="L66" s="87">
        <v>0</v>
      </c>
      <c r="M66" s="86">
        <v>0</v>
      </c>
      <c r="N66" s="86">
        <v>0</v>
      </c>
      <c r="O66" s="86">
        <v>0</v>
      </c>
      <c r="P66" s="86">
        <v>0</v>
      </c>
      <c r="Q66" s="86">
        <v>0</v>
      </c>
      <c r="R66" s="86">
        <v>0</v>
      </c>
      <c r="S66" s="86">
        <v>0</v>
      </c>
      <c r="T66" s="86">
        <v>0</v>
      </c>
      <c r="U66" s="86">
        <v>0</v>
      </c>
      <c r="V66" s="86">
        <v>0</v>
      </c>
      <c r="W66" s="86">
        <v>0</v>
      </c>
      <c r="X66" s="86">
        <v>0</v>
      </c>
      <c r="Y66" s="86">
        <v>0</v>
      </c>
      <c r="Z66" s="86">
        <v>0</v>
      </c>
      <c r="AA66" s="86">
        <v>0</v>
      </c>
      <c r="AB66" s="86">
        <v>0</v>
      </c>
      <c r="AC66" s="86">
        <v>0</v>
      </c>
      <c r="AD66" s="86">
        <v>0</v>
      </c>
      <c r="AE66" s="86">
        <v>0</v>
      </c>
      <c r="AF66" s="93">
        <f t="shared" ref="AF66:AF72" si="6">SUM(H66,J66,L66,N66,P66,R66,T66,V66,X66)</f>
        <v>33450</v>
      </c>
    </row>
    <row r="67" spans="1:33" ht="52.5" customHeight="1" x14ac:dyDescent="0.25">
      <c r="A67" s="231"/>
      <c r="B67" s="222"/>
      <c r="C67" s="91" t="s">
        <v>53</v>
      </c>
      <c r="D67" s="90" t="s">
        <v>191</v>
      </c>
      <c r="E67" s="103" t="s">
        <v>133</v>
      </c>
      <c r="F67" s="106">
        <v>0</v>
      </c>
      <c r="G67" s="106">
        <v>0</v>
      </c>
      <c r="H67" s="106">
        <v>0</v>
      </c>
      <c r="I67" s="86">
        <v>0</v>
      </c>
      <c r="J67" s="86">
        <v>1</v>
      </c>
      <c r="K67" s="86">
        <v>1</v>
      </c>
      <c r="L67" s="87">
        <v>0</v>
      </c>
      <c r="M67" s="86">
        <v>0</v>
      </c>
      <c r="N67" s="86">
        <v>0</v>
      </c>
      <c r="O67" s="86">
        <v>0</v>
      </c>
      <c r="P67" s="86">
        <v>0</v>
      </c>
      <c r="Q67" s="86">
        <v>0</v>
      </c>
      <c r="R67" s="86">
        <v>0</v>
      </c>
      <c r="S67" s="86">
        <v>0</v>
      </c>
      <c r="T67" s="86">
        <v>0</v>
      </c>
      <c r="U67" s="86">
        <v>0</v>
      </c>
      <c r="V67" s="86">
        <v>0</v>
      </c>
      <c r="W67" s="86">
        <v>0</v>
      </c>
      <c r="X67" s="86">
        <v>0</v>
      </c>
      <c r="Y67" s="86">
        <v>0</v>
      </c>
      <c r="Z67" s="86">
        <v>0</v>
      </c>
      <c r="AA67" s="86">
        <v>0</v>
      </c>
      <c r="AB67" s="86">
        <v>0</v>
      </c>
      <c r="AC67" s="86">
        <v>0</v>
      </c>
      <c r="AD67" s="86">
        <v>0</v>
      </c>
      <c r="AE67" s="86">
        <v>0</v>
      </c>
      <c r="AF67" s="93">
        <f t="shared" si="6"/>
        <v>1</v>
      </c>
    </row>
    <row r="68" spans="1:33" ht="28.5" customHeight="1" x14ac:dyDescent="0.25">
      <c r="A68" s="231"/>
      <c r="B68" s="222"/>
      <c r="C68" s="91" t="s">
        <v>44</v>
      </c>
      <c r="D68" s="90" t="s">
        <v>190</v>
      </c>
      <c r="E68" s="103" t="s">
        <v>133</v>
      </c>
      <c r="F68" s="106">
        <v>0</v>
      </c>
      <c r="G68" s="106">
        <v>0</v>
      </c>
      <c r="H68" s="106">
        <v>0</v>
      </c>
      <c r="I68" s="86">
        <v>0</v>
      </c>
      <c r="J68" s="86">
        <v>4</v>
      </c>
      <c r="K68" s="86">
        <v>0</v>
      </c>
      <c r="L68" s="87">
        <v>0</v>
      </c>
      <c r="M68" s="86">
        <v>0</v>
      </c>
      <c r="N68" s="86">
        <v>0</v>
      </c>
      <c r="O68" s="86">
        <v>0</v>
      </c>
      <c r="P68" s="86">
        <v>0</v>
      </c>
      <c r="Q68" s="86">
        <v>0</v>
      </c>
      <c r="R68" s="86">
        <v>0</v>
      </c>
      <c r="S68" s="86">
        <v>0</v>
      </c>
      <c r="T68" s="86">
        <v>0</v>
      </c>
      <c r="U68" s="86">
        <v>0</v>
      </c>
      <c r="V68" s="86">
        <v>0</v>
      </c>
      <c r="W68" s="86">
        <v>0</v>
      </c>
      <c r="X68" s="86">
        <v>0</v>
      </c>
      <c r="Y68" s="86">
        <v>0</v>
      </c>
      <c r="Z68" s="86">
        <v>0</v>
      </c>
      <c r="AA68" s="86">
        <v>0</v>
      </c>
      <c r="AB68" s="86">
        <v>0</v>
      </c>
      <c r="AC68" s="86">
        <v>0</v>
      </c>
      <c r="AD68" s="86">
        <v>0</v>
      </c>
      <c r="AE68" s="86">
        <v>0</v>
      </c>
      <c r="AF68" s="93">
        <f t="shared" si="6"/>
        <v>4</v>
      </c>
    </row>
    <row r="69" spans="1:33" ht="30" customHeight="1" x14ac:dyDescent="0.25">
      <c r="A69" s="231"/>
      <c r="B69" s="222"/>
      <c r="C69" s="91" t="s">
        <v>189</v>
      </c>
      <c r="D69" s="90" t="s">
        <v>188</v>
      </c>
      <c r="E69" s="103" t="s">
        <v>133</v>
      </c>
      <c r="F69" s="106">
        <v>0</v>
      </c>
      <c r="G69" s="106">
        <v>0</v>
      </c>
      <c r="H69" s="106">
        <v>0</v>
      </c>
      <c r="I69" s="86">
        <v>0</v>
      </c>
      <c r="J69" s="86">
        <v>2</v>
      </c>
      <c r="K69" s="86">
        <v>0</v>
      </c>
      <c r="L69" s="87">
        <v>0</v>
      </c>
      <c r="M69" s="86">
        <v>0</v>
      </c>
      <c r="N69" s="86">
        <v>7</v>
      </c>
      <c r="O69" s="86">
        <v>0</v>
      </c>
      <c r="P69" s="89">
        <v>0</v>
      </c>
      <c r="Q69" s="86">
        <v>0</v>
      </c>
      <c r="R69" s="86">
        <v>7</v>
      </c>
      <c r="S69" s="86">
        <v>0</v>
      </c>
      <c r="T69" s="89">
        <v>0</v>
      </c>
      <c r="U69" s="89">
        <v>0</v>
      </c>
      <c r="V69" s="89">
        <v>0</v>
      </c>
      <c r="W69" s="89">
        <v>0</v>
      </c>
      <c r="X69" s="89">
        <v>0</v>
      </c>
      <c r="Y69" s="89">
        <v>0</v>
      </c>
      <c r="Z69" s="89">
        <v>0</v>
      </c>
      <c r="AA69" s="89">
        <v>0</v>
      </c>
      <c r="AB69" s="89">
        <v>0</v>
      </c>
      <c r="AC69" s="89">
        <v>0</v>
      </c>
      <c r="AD69" s="86">
        <v>0</v>
      </c>
      <c r="AE69" s="86">
        <v>0</v>
      </c>
      <c r="AF69" s="93">
        <f t="shared" si="6"/>
        <v>16</v>
      </c>
    </row>
    <row r="70" spans="1:33" ht="39.75" customHeight="1" x14ac:dyDescent="0.25">
      <c r="A70" s="231"/>
      <c r="B70" s="222"/>
      <c r="C70" s="91" t="s">
        <v>53</v>
      </c>
      <c r="D70" s="107" t="s">
        <v>187</v>
      </c>
      <c r="E70" s="103" t="s">
        <v>133</v>
      </c>
      <c r="F70" s="106">
        <v>0</v>
      </c>
      <c r="G70" s="106">
        <v>0</v>
      </c>
      <c r="H70" s="106">
        <v>0</v>
      </c>
      <c r="I70" s="86">
        <v>0</v>
      </c>
      <c r="J70" s="89">
        <v>0</v>
      </c>
      <c r="K70" s="89">
        <v>0</v>
      </c>
      <c r="L70" s="89">
        <v>0</v>
      </c>
      <c r="M70" s="89">
        <v>0</v>
      </c>
      <c r="N70" s="89">
        <v>838</v>
      </c>
      <c r="O70" s="89">
        <v>106</v>
      </c>
      <c r="P70" s="89">
        <v>0</v>
      </c>
      <c r="Q70" s="89">
        <v>0</v>
      </c>
      <c r="R70" s="89">
        <v>0</v>
      </c>
      <c r="S70" s="89">
        <v>0</v>
      </c>
      <c r="T70" s="89">
        <v>0</v>
      </c>
      <c r="U70" s="89">
        <v>0</v>
      </c>
      <c r="V70" s="89">
        <v>0</v>
      </c>
      <c r="W70" s="89">
        <v>0</v>
      </c>
      <c r="X70" s="89">
        <v>0</v>
      </c>
      <c r="Y70" s="89">
        <v>0</v>
      </c>
      <c r="Z70" s="89">
        <v>0</v>
      </c>
      <c r="AA70" s="89">
        <v>0</v>
      </c>
      <c r="AB70" s="89">
        <v>0</v>
      </c>
      <c r="AC70" s="89">
        <v>0</v>
      </c>
      <c r="AD70" s="86">
        <v>0</v>
      </c>
      <c r="AE70" s="86">
        <v>0</v>
      </c>
      <c r="AF70" s="93">
        <f t="shared" si="6"/>
        <v>838</v>
      </c>
    </row>
    <row r="71" spans="1:33" ht="39" customHeight="1" x14ac:dyDescent="0.25">
      <c r="A71" s="231"/>
      <c r="B71" s="222"/>
      <c r="C71" s="91" t="s">
        <v>53</v>
      </c>
      <c r="D71" s="107" t="s">
        <v>186</v>
      </c>
      <c r="E71" s="103" t="s">
        <v>155</v>
      </c>
      <c r="F71" s="106">
        <v>0</v>
      </c>
      <c r="G71" s="106">
        <v>0</v>
      </c>
      <c r="H71" s="106">
        <v>0</v>
      </c>
      <c r="I71" s="106">
        <v>0</v>
      </c>
      <c r="J71" s="106">
        <v>0</v>
      </c>
      <c r="K71" s="106">
        <v>0</v>
      </c>
      <c r="L71" s="106">
        <v>0</v>
      </c>
      <c r="M71" s="106">
        <v>0</v>
      </c>
      <c r="N71" s="89">
        <v>1</v>
      </c>
      <c r="O71" s="89">
        <v>0</v>
      </c>
      <c r="P71" s="89">
        <v>0</v>
      </c>
      <c r="Q71" s="89">
        <v>0</v>
      </c>
      <c r="R71" s="89">
        <v>0</v>
      </c>
      <c r="S71" s="89">
        <v>0</v>
      </c>
      <c r="T71" s="89">
        <v>0</v>
      </c>
      <c r="U71" s="89">
        <v>0</v>
      </c>
      <c r="V71" s="89">
        <v>0</v>
      </c>
      <c r="W71" s="89">
        <v>0</v>
      </c>
      <c r="X71" s="89">
        <v>0</v>
      </c>
      <c r="Y71" s="89">
        <v>0</v>
      </c>
      <c r="Z71" s="89">
        <v>0</v>
      </c>
      <c r="AA71" s="89">
        <v>0</v>
      </c>
      <c r="AB71" s="89">
        <v>0</v>
      </c>
      <c r="AC71" s="89">
        <v>0</v>
      </c>
      <c r="AD71" s="86">
        <v>0</v>
      </c>
      <c r="AE71" s="86">
        <v>0</v>
      </c>
      <c r="AF71" s="93">
        <f t="shared" si="6"/>
        <v>1</v>
      </c>
    </row>
    <row r="72" spans="1:33" ht="39" customHeight="1" x14ac:dyDescent="0.25">
      <c r="A72" s="231"/>
      <c r="B72" s="222"/>
      <c r="C72" s="91" t="s">
        <v>53</v>
      </c>
      <c r="D72" s="107" t="s">
        <v>185</v>
      </c>
      <c r="E72" s="103" t="s">
        <v>133</v>
      </c>
      <c r="F72" s="106">
        <v>0</v>
      </c>
      <c r="G72" s="106">
        <v>0</v>
      </c>
      <c r="H72" s="106">
        <v>0</v>
      </c>
      <c r="I72" s="106">
        <v>0</v>
      </c>
      <c r="J72" s="106">
        <v>0</v>
      </c>
      <c r="K72" s="106">
        <v>0</v>
      </c>
      <c r="L72" s="106">
        <v>0</v>
      </c>
      <c r="M72" s="106">
        <v>0</v>
      </c>
      <c r="N72" s="89">
        <v>0</v>
      </c>
      <c r="O72" s="89">
        <v>0</v>
      </c>
      <c r="P72" s="89">
        <v>9</v>
      </c>
      <c r="Q72" s="89">
        <v>9</v>
      </c>
      <c r="R72" s="89">
        <v>0</v>
      </c>
      <c r="S72" s="89">
        <v>0</v>
      </c>
      <c r="T72" s="89">
        <v>0</v>
      </c>
      <c r="U72" s="89">
        <v>0</v>
      </c>
      <c r="V72" s="89">
        <v>0</v>
      </c>
      <c r="W72" s="89">
        <v>0</v>
      </c>
      <c r="X72" s="89">
        <v>0</v>
      </c>
      <c r="Y72" s="89">
        <v>0</v>
      </c>
      <c r="Z72" s="89">
        <v>0</v>
      </c>
      <c r="AA72" s="89">
        <v>0</v>
      </c>
      <c r="AB72" s="89">
        <v>0</v>
      </c>
      <c r="AC72" s="89">
        <v>0</v>
      </c>
      <c r="AD72" s="86">
        <v>0</v>
      </c>
      <c r="AE72" s="86">
        <v>0</v>
      </c>
      <c r="AF72" s="93">
        <f t="shared" si="6"/>
        <v>9</v>
      </c>
    </row>
    <row r="73" spans="1:33" ht="28.5" customHeight="1" x14ac:dyDescent="0.25">
      <c r="A73" s="231"/>
      <c r="B73" s="222"/>
      <c r="C73" s="91" t="s">
        <v>43</v>
      </c>
      <c r="D73" s="163" t="s">
        <v>184</v>
      </c>
      <c r="E73" s="159" t="s">
        <v>133</v>
      </c>
      <c r="F73" s="106">
        <v>0</v>
      </c>
      <c r="G73" s="106">
        <v>0</v>
      </c>
      <c r="H73" s="106">
        <v>0</v>
      </c>
      <c r="I73" s="106">
        <v>0</v>
      </c>
      <c r="J73" s="106">
        <v>0</v>
      </c>
      <c r="K73" s="106">
        <v>0</v>
      </c>
      <c r="L73" s="106">
        <v>0</v>
      </c>
      <c r="M73" s="106">
        <v>0</v>
      </c>
      <c r="N73" s="88">
        <v>0</v>
      </c>
      <c r="O73" s="88">
        <v>0</v>
      </c>
      <c r="P73" s="88">
        <v>1</v>
      </c>
      <c r="Q73" s="88">
        <v>0</v>
      </c>
      <c r="R73" s="88">
        <v>3</v>
      </c>
      <c r="S73" s="88">
        <v>2</v>
      </c>
      <c r="T73" s="88">
        <v>4</v>
      </c>
      <c r="U73" s="88">
        <v>2</v>
      </c>
      <c r="V73" s="88">
        <v>1</v>
      </c>
      <c r="W73" s="88">
        <v>0</v>
      </c>
      <c r="X73" s="88">
        <v>1</v>
      </c>
      <c r="Y73" s="88">
        <v>0</v>
      </c>
      <c r="Z73" s="88">
        <v>1</v>
      </c>
      <c r="AA73" s="88">
        <v>0</v>
      </c>
      <c r="AB73" s="88">
        <v>1</v>
      </c>
      <c r="AC73" s="88">
        <v>0</v>
      </c>
      <c r="AD73" s="88">
        <v>1</v>
      </c>
      <c r="AE73" s="88">
        <v>0</v>
      </c>
      <c r="AF73" s="93">
        <v>1</v>
      </c>
      <c r="AG73" s="71" t="s">
        <v>183</v>
      </c>
    </row>
    <row r="74" spans="1:33" ht="26.25" customHeight="1" x14ac:dyDescent="0.25">
      <c r="A74" s="231"/>
      <c r="B74" s="222"/>
      <c r="C74" s="91" t="s">
        <v>45</v>
      </c>
      <c r="D74" s="163" t="s">
        <v>182</v>
      </c>
      <c r="E74" s="159" t="s">
        <v>133</v>
      </c>
      <c r="F74" s="106">
        <v>0</v>
      </c>
      <c r="G74" s="106">
        <v>0</v>
      </c>
      <c r="H74" s="106">
        <v>0</v>
      </c>
      <c r="I74" s="106">
        <v>0</v>
      </c>
      <c r="J74" s="106">
        <v>0</v>
      </c>
      <c r="K74" s="106">
        <v>0</v>
      </c>
      <c r="L74" s="106">
        <v>0</v>
      </c>
      <c r="M74" s="106">
        <v>0</v>
      </c>
      <c r="N74" s="88">
        <v>0</v>
      </c>
      <c r="O74" s="88">
        <v>0</v>
      </c>
      <c r="P74" s="88">
        <v>1</v>
      </c>
      <c r="Q74" s="88">
        <v>0</v>
      </c>
      <c r="R74" s="88">
        <v>0</v>
      </c>
      <c r="S74" s="88">
        <v>0</v>
      </c>
      <c r="T74" s="88">
        <v>0</v>
      </c>
      <c r="U74" s="88">
        <v>0</v>
      </c>
      <c r="V74" s="88">
        <v>0</v>
      </c>
      <c r="W74" s="88">
        <v>0</v>
      </c>
      <c r="X74" s="88">
        <v>0</v>
      </c>
      <c r="Y74" s="88">
        <v>0</v>
      </c>
      <c r="Z74" s="88">
        <v>0</v>
      </c>
      <c r="AA74" s="88">
        <v>0</v>
      </c>
      <c r="AB74" s="88">
        <v>0</v>
      </c>
      <c r="AC74" s="88">
        <v>0</v>
      </c>
      <c r="AD74" s="88">
        <v>0</v>
      </c>
      <c r="AE74" s="88">
        <v>0</v>
      </c>
      <c r="AF74" s="93">
        <f>SUM(H74,J74,L74,N74,P74,R74,T74,V74,X74)</f>
        <v>1</v>
      </c>
    </row>
    <row r="75" spans="1:33" ht="28.5" hidden="1" customHeight="1" x14ac:dyDescent="0.25">
      <c r="A75" s="231"/>
      <c r="B75" s="222"/>
      <c r="C75" s="91" t="s">
        <v>43</v>
      </c>
      <c r="D75" s="107" t="s">
        <v>181</v>
      </c>
      <c r="E75" s="103" t="s">
        <v>133</v>
      </c>
      <c r="F75" s="106">
        <v>0</v>
      </c>
      <c r="G75" s="106">
        <v>0</v>
      </c>
      <c r="H75" s="106">
        <v>0</v>
      </c>
      <c r="I75" s="106">
        <v>0</v>
      </c>
      <c r="J75" s="106">
        <v>0</v>
      </c>
      <c r="K75" s="106">
        <v>0</v>
      </c>
      <c r="L75" s="106">
        <v>0</v>
      </c>
      <c r="M75" s="106">
        <v>0</v>
      </c>
      <c r="N75" s="89">
        <v>0</v>
      </c>
      <c r="O75" s="89">
        <v>0</v>
      </c>
      <c r="P75" s="89">
        <v>0</v>
      </c>
      <c r="Q75" s="89">
        <v>0</v>
      </c>
      <c r="R75" s="89">
        <v>0</v>
      </c>
      <c r="S75" s="89">
        <v>0</v>
      </c>
      <c r="T75" s="89">
        <v>0</v>
      </c>
      <c r="U75" s="89">
        <v>0</v>
      </c>
      <c r="V75" s="89">
        <v>0</v>
      </c>
      <c r="W75" s="89">
        <v>0</v>
      </c>
      <c r="X75" s="89"/>
      <c r="Y75" s="89"/>
      <c r="Z75" s="89"/>
      <c r="AA75" s="89"/>
      <c r="AB75" s="89"/>
      <c r="AC75" s="89"/>
      <c r="AD75" s="89"/>
      <c r="AE75" s="89"/>
      <c r="AF75" s="93">
        <f>SUM(H75,J75,L75,N75,P75,R75,T75,V75,X75)</f>
        <v>0</v>
      </c>
    </row>
    <row r="76" spans="1:33" ht="76.5" x14ac:dyDescent="0.25">
      <c r="A76" s="231"/>
      <c r="B76" s="222"/>
      <c r="C76" s="91" t="s">
        <v>294</v>
      </c>
      <c r="D76" s="107" t="s">
        <v>180</v>
      </c>
      <c r="E76" s="103" t="s">
        <v>133</v>
      </c>
      <c r="F76" s="106" t="s">
        <v>26</v>
      </c>
      <c r="G76" s="106" t="s">
        <v>26</v>
      </c>
      <c r="H76" s="106" t="s">
        <v>26</v>
      </c>
      <c r="I76" s="106" t="s">
        <v>26</v>
      </c>
      <c r="J76" s="106" t="s">
        <v>26</v>
      </c>
      <c r="K76" s="106" t="s">
        <v>26</v>
      </c>
      <c r="L76" s="106" t="s">
        <v>26</v>
      </c>
      <c r="M76" s="106" t="s">
        <v>26</v>
      </c>
      <c r="N76" s="89" t="s">
        <v>26</v>
      </c>
      <c r="O76" s="89" t="s">
        <v>26</v>
      </c>
      <c r="P76" s="89">
        <v>9</v>
      </c>
      <c r="Q76" s="89">
        <v>9</v>
      </c>
      <c r="R76" s="89">
        <v>9</v>
      </c>
      <c r="S76" s="89">
        <v>9</v>
      </c>
      <c r="T76" s="89">
        <v>9</v>
      </c>
      <c r="U76" s="89">
        <v>9</v>
      </c>
      <c r="V76" s="89">
        <v>9</v>
      </c>
      <c r="W76" s="89">
        <v>9</v>
      </c>
      <c r="X76" s="89">
        <v>9</v>
      </c>
      <c r="Y76" s="89">
        <v>9</v>
      </c>
      <c r="Z76" s="89">
        <v>9</v>
      </c>
      <c r="AA76" s="89">
        <v>9</v>
      </c>
      <c r="AB76" s="89">
        <v>9</v>
      </c>
      <c r="AC76" s="89">
        <v>9</v>
      </c>
      <c r="AD76" s="89">
        <v>9</v>
      </c>
      <c r="AE76" s="89">
        <v>9</v>
      </c>
      <c r="AF76" s="93">
        <v>9</v>
      </c>
    </row>
    <row r="77" spans="1:33" ht="65.25" customHeight="1" x14ac:dyDescent="0.25">
      <c r="A77" s="231"/>
      <c r="B77" s="222"/>
      <c r="C77" s="161" t="s">
        <v>178</v>
      </c>
      <c r="D77" s="107" t="s">
        <v>179</v>
      </c>
      <c r="E77" s="103" t="s">
        <v>133</v>
      </c>
      <c r="F77" s="106" t="s">
        <v>26</v>
      </c>
      <c r="G77" s="106" t="s">
        <v>26</v>
      </c>
      <c r="H77" s="106" t="s">
        <v>26</v>
      </c>
      <c r="I77" s="106" t="s">
        <v>26</v>
      </c>
      <c r="J77" s="106" t="s">
        <v>26</v>
      </c>
      <c r="K77" s="106" t="s">
        <v>26</v>
      </c>
      <c r="L77" s="106" t="s">
        <v>26</v>
      </c>
      <c r="M77" s="106" t="s">
        <v>26</v>
      </c>
      <c r="N77" s="89" t="s">
        <v>26</v>
      </c>
      <c r="O77" s="89" t="s">
        <v>26</v>
      </c>
      <c r="P77" s="89">
        <v>3</v>
      </c>
      <c r="Q77" s="89">
        <v>0</v>
      </c>
      <c r="R77" s="89" t="s">
        <v>26</v>
      </c>
      <c r="S77" s="89" t="s">
        <v>26</v>
      </c>
      <c r="T77" s="89">
        <v>0</v>
      </c>
      <c r="U77" s="89">
        <v>0</v>
      </c>
      <c r="V77" s="89">
        <v>0</v>
      </c>
      <c r="W77" s="89">
        <v>0</v>
      </c>
      <c r="X77" s="89">
        <v>0</v>
      </c>
      <c r="Y77" s="89">
        <v>0</v>
      </c>
      <c r="Z77" s="89">
        <v>0</v>
      </c>
      <c r="AA77" s="89">
        <v>0</v>
      </c>
      <c r="AB77" s="89">
        <v>0</v>
      </c>
      <c r="AC77" s="89">
        <v>0</v>
      </c>
      <c r="AD77" s="89">
        <v>0</v>
      </c>
      <c r="AE77" s="89">
        <v>0</v>
      </c>
      <c r="AF77" s="93">
        <f>SUM(H77,J77,L77,N77,P77,R77,T77,V77,X77)</f>
        <v>3</v>
      </c>
    </row>
    <row r="78" spans="1:33" ht="65.25" customHeight="1" x14ac:dyDescent="0.25">
      <c r="A78" s="110"/>
      <c r="B78" s="109"/>
      <c r="C78" s="108" t="s">
        <v>178</v>
      </c>
      <c r="D78" s="107" t="s">
        <v>177</v>
      </c>
      <c r="E78" s="103" t="s">
        <v>146</v>
      </c>
      <c r="F78" s="106" t="s">
        <v>26</v>
      </c>
      <c r="G78" s="106" t="s">
        <v>26</v>
      </c>
      <c r="H78" s="106" t="s">
        <v>26</v>
      </c>
      <c r="I78" s="106" t="s">
        <v>26</v>
      </c>
      <c r="J78" s="106" t="s">
        <v>26</v>
      </c>
      <c r="K78" s="106" t="s">
        <v>26</v>
      </c>
      <c r="L78" s="106" t="s">
        <v>26</v>
      </c>
      <c r="M78" s="106" t="s">
        <v>26</v>
      </c>
      <c r="N78" s="89" t="s">
        <v>26</v>
      </c>
      <c r="O78" s="89" t="s">
        <v>26</v>
      </c>
      <c r="P78" s="89" t="s">
        <v>26</v>
      </c>
      <c r="Q78" s="89" t="s">
        <v>26</v>
      </c>
      <c r="R78" s="89" t="s">
        <v>26</v>
      </c>
      <c r="S78" s="89" t="s">
        <v>26</v>
      </c>
      <c r="T78" s="89" t="s">
        <v>26</v>
      </c>
      <c r="U78" s="89" t="s">
        <v>26</v>
      </c>
      <c r="V78" s="89">
        <v>15</v>
      </c>
      <c r="W78" s="89">
        <v>0</v>
      </c>
      <c r="X78" s="89">
        <v>15</v>
      </c>
      <c r="Y78" s="89">
        <v>0</v>
      </c>
      <c r="Z78" s="89">
        <v>0</v>
      </c>
      <c r="AA78" s="89">
        <v>0</v>
      </c>
      <c r="AB78" s="89">
        <v>0</v>
      </c>
      <c r="AC78" s="89">
        <v>0</v>
      </c>
      <c r="AD78" s="89">
        <v>0</v>
      </c>
      <c r="AE78" s="89">
        <v>0</v>
      </c>
      <c r="AF78" s="93">
        <v>0</v>
      </c>
      <c r="AG78" s="71" t="s">
        <v>176</v>
      </c>
    </row>
    <row r="79" spans="1:33" ht="52.5" customHeight="1" x14ac:dyDescent="0.25">
      <c r="A79" s="84">
        <v>27</v>
      </c>
      <c r="B79" s="85" t="s">
        <v>175</v>
      </c>
      <c r="C79" s="91" t="s">
        <v>53</v>
      </c>
      <c r="D79" s="90" t="s">
        <v>174</v>
      </c>
      <c r="E79" s="103" t="s">
        <v>173</v>
      </c>
      <c r="F79" s="88">
        <v>3637</v>
      </c>
      <c r="G79" s="88">
        <v>4168</v>
      </c>
      <c r="H79" s="88">
        <v>1946</v>
      </c>
      <c r="I79" s="86">
        <v>973</v>
      </c>
      <c r="J79" s="86">
        <v>1946</v>
      </c>
      <c r="K79" s="86">
        <v>973</v>
      </c>
      <c r="L79" s="87">
        <v>2359</v>
      </c>
      <c r="M79" s="86">
        <v>734</v>
      </c>
      <c r="N79" s="86">
        <v>3559</v>
      </c>
      <c r="O79" s="86">
        <v>912</v>
      </c>
      <c r="P79" s="86">
        <v>2748</v>
      </c>
      <c r="Q79" s="86">
        <v>1374</v>
      </c>
      <c r="R79" s="105">
        <v>2748</v>
      </c>
      <c r="S79" s="105">
        <v>1374</v>
      </c>
      <c r="T79" s="105">
        <v>3034</v>
      </c>
      <c r="U79" s="105">
        <f>T79/2</f>
        <v>1517</v>
      </c>
      <c r="V79" s="105">
        <v>8093</v>
      </c>
      <c r="W79" s="105">
        <f>V79/2</f>
        <v>4046.5</v>
      </c>
      <c r="X79" s="105">
        <v>5600</v>
      </c>
      <c r="Y79" s="105">
        <f>X79/2</f>
        <v>2800</v>
      </c>
      <c r="Z79" s="105">
        <v>5600</v>
      </c>
      <c r="AA79" s="105">
        <f>Z79/2</f>
        <v>2800</v>
      </c>
      <c r="AB79" s="105">
        <v>5600</v>
      </c>
      <c r="AC79" s="105">
        <f>AB79/2</f>
        <v>2800</v>
      </c>
      <c r="AD79" s="105">
        <v>5600</v>
      </c>
      <c r="AE79" s="105">
        <v>2800</v>
      </c>
      <c r="AF79" s="93">
        <f>SUM(H79,J79,L79,N79,P79,R79,T79,V79,X79,Z79)</f>
        <v>37633</v>
      </c>
    </row>
    <row r="80" spans="1:33" ht="56.25" customHeight="1" x14ac:dyDescent="0.25">
      <c r="A80" s="84">
        <v>28</v>
      </c>
      <c r="B80" s="104" t="s">
        <v>172</v>
      </c>
      <c r="C80" s="91" t="s">
        <v>171</v>
      </c>
      <c r="D80" s="90" t="s">
        <v>170</v>
      </c>
      <c r="E80" s="103" t="s">
        <v>133</v>
      </c>
      <c r="F80" s="88">
        <v>0</v>
      </c>
      <c r="G80" s="88">
        <v>0</v>
      </c>
      <c r="H80" s="88">
        <v>0</v>
      </c>
      <c r="I80" s="86">
        <v>0</v>
      </c>
      <c r="J80" s="86">
        <v>0</v>
      </c>
      <c r="K80" s="86">
        <v>0</v>
      </c>
      <c r="L80" s="87">
        <v>0</v>
      </c>
      <c r="M80" s="86">
        <v>0</v>
      </c>
      <c r="N80" s="86">
        <v>1</v>
      </c>
      <c r="O80" s="86">
        <v>0</v>
      </c>
      <c r="P80" s="86">
        <v>0</v>
      </c>
      <c r="Q80" s="86">
        <v>0</v>
      </c>
      <c r="R80" s="86">
        <v>0</v>
      </c>
      <c r="S80" s="86">
        <v>0</v>
      </c>
      <c r="T80" s="86">
        <v>0</v>
      </c>
      <c r="U80" s="86">
        <v>0</v>
      </c>
      <c r="V80" s="86">
        <v>0</v>
      </c>
      <c r="W80" s="86">
        <v>0</v>
      </c>
      <c r="X80" s="86">
        <v>0</v>
      </c>
      <c r="Y80" s="86">
        <v>0</v>
      </c>
      <c r="Z80" s="86">
        <v>0</v>
      </c>
      <c r="AA80" s="86">
        <v>0</v>
      </c>
      <c r="AB80" s="86">
        <v>0</v>
      </c>
      <c r="AC80" s="86">
        <v>0</v>
      </c>
      <c r="AD80" s="86">
        <v>0</v>
      </c>
      <c r="AE80" s="86">
        <v>0</v>
      </c>
      <c r="AF80" s="93">
        <f>SUM(H80,J80,L80,N80,P80,R80,T80,V80,X80)</f>
        <v>1</v>
      </c>
    </row>
    <row r="81" spans="1:32" ht="58.5" customHeight="1" x14ac:dyDescent="0.25">
      <c r="A81" s="84">
        <v>29</v>
      </c>
      <c r="B81" s="85" t="s">
        <v>169</v>
      </c>
      <c r="C81" s="91" t="s">
        <v>53</v>
      </c>
      <c r="D81" s="90" t="s">
        <v>168</v>
      </c>
      <c r="E81" s="103" t="s">
        <v>133</v>
      </c>
      <c r="F81" s="88">
        <v>4</v>
      </c>
      <c r="G81" s="88">
        <v>4</v>
      </c>
      <c r="H81" s="88">
        <v>4</v>
      </c>
      <c r="I81" s="86">
        <v>4</v>
      </c>
      <c r="J81" s="86">
        <v>4</v>
      </c>
      <c r="K81" s="86">
        <v>4</v>
      </c>
      <c r="L81" s="87">
        <v>4</v>
      </c>
      <c r="M81" s="86">
        <v>4</v>
      </c>
      <c r="N81" s="86">
        <v>4</v>
      </c>
      <c r="O81" s="86">
        <v>4</v>
      </c>
      <c r="P81" s="86">
        <v>4</v>
      </c>
      <c r="Q81" s="86">
        <v>4</v>
      </c>
      <c r="R81" s="86">
        <v>4</v>
      </c>
      <c r="S81" s="86">
        <v>4</v>
      </c>
      <c r="T81" s="86">
        <v>4</v>
      </c>
      <c r="U81" s="86">
        <v>4</v>
      </c>
      <c r="V81" s="86">
        <v>4</v>
      </c>
      <c r="W81" s="86">
        <v>4</v>
      </c>
      <c r="X81" s="86">
        <v>4</v>
      </c>
      <c r="Y81" s="86">
        <v>4</v>
      </c>
      <c r="Z81" s="86">
        <v>4</v>
      </c>
      <c r="AA81" s="86">
        <v>4</v>
      </c>
      <c r="AB81" s="86">
        <v>4</v>
      </c>
      <c r="AC81" s="86">
        <v>4</v>
      </c>
      <c r="AD81" s="86">
        <v>4</v>
      </c>
      <c r="AE81" s="86">
        <v>4</v>
      </c>
      <c r="AF81" s="86">
        <f>X81</f>
        <v>4</v>
      </c>
    </row>
    <row r="82" spans="1:32" ht="58.5" customHeight="1" x14ac:dyDescent="0.25">
      <c r="A82" s="84">
        <v>30</v>
      </c>
      <c r="B82" s="85" t="s">
        <v>167</v>
      </c>
      <c r="C82" s="102" t="s">
        <v>85</v>
      </c>
      <c r="D82" s="90" t="s">
        <v>166</v>
      </c>
      <c r="E82" s="103" t="s">
        <v>146</v>
      </c>
      <c r="F82" s="88">
        <v>4</v>
      </c>
      <c r="G82" s="88">
        <v>4</v>
      </c>
      <c r="H82" s="88">
        <v>4</v>
      </c>
      <c r="I82" s="86">
        <v>0</v>
      </c>
      <c r="J82" s="86">
        <v>0</v>
      </c>
      <c r="K82" s="86">
        <v>0</v>
      </c>
      <c r="L82" s="87">
        <v>3</v>
      </c>
      <c r="M82" s="86">
        <v>0</v>
      </c>
      <c r="N82" s="86">
        <v>3</v>
      </c>
      <c r="O82" s="86">
        <v>0</v>
      </c>
      <c r="P82" s="86">
        <v>3</v>
      </c>
      <c r="Q82" s="86">
        <v>0</v>
      </c>
      <c r="R82" s="86">
        <v>3</v>
      </c>
      <c r="S82" s="86">
        <v>0</v>
      </c>
      <c r="T82" s="86">
        <v>2</v>
      </c>
      <c r="U82" s="86">
        <v>0</v>
      </c>
      <c r="V82" s="86">
        <v>2</v>
      </c>
      <c r="W82" s="86">
        <v>0</v>
      </c>
      <c r="X82" s="86">
        <v>2</v>
      </c>
      <c r="Y82" s="86">
        <v>0</v>
      </c>
      <c r="Z82" s="86">
        <v>2</v>
      </c>
      <c r="AA82" s="86">
        <v>0</v>
      </c>
      <c r="AB82" s="86">
        <v>2</v>
      </c>
      <c r="AC82" s="86">
        <v>0</v>
      </c>
      <c r="AD82" s="86">
        <v>2</v>
      </c>
      <c r="AE82" s="86">
        <v>0</v>
      </c>
      <c r="AF82" s="86">
        <f>X82</f>
        <v>2</v>
      </c>
    </row>
    <row r="83" spans="1:32" ht="44.25" customHeight="1" x14ac:dyDescent="0.25">
      <c r="A83" s="84">
        <v>31</v>
      </c>
      <c r="B83" s="85" t="s">
        <v>165</v>
      </c>
      <c r="C83" s="84" t="s">
        <v>88</v>
      </c>
      <c r="D83" s="90" t="s">
        <v>164</v>
      </c>
      <c r="E83" s="103" t="s">
        <v>133</v>
      </c>
      <c r="F83" s="88">
        <v>0</v>
      </c>
      <c r="G83" s="88">
        <v>0</v>
      </c>
      <c r="H83" s="88">
        <v>0</v>
      </c>
      <c r="I83" s="86">
        <v>0</v>
      </c>
      <c r="J83" s="86">
        <v>3</v>
      </c>
      <c r="K83" s="86">
        <v>3</v>
      </c>
      <c r="L83" s="87">
        <v>0</v>
      </c>
      <c r="M83" s="86">
        <v>0</v>
      </c>
      <c r="N83" s="86">
        <v>0</v>
      </c>
      <c r="O83" s="86">
        <v>0</v>
      </c>
      <c r="P83" s="86">
        <v>0</v>
      </c>
      <c r="Q83" s="86">
        <v>0</v>
      </c>
      <c r="R83" s="86">
        <v>0</v>
      </c>
      <c r="S83" s="86">
        <v>0</v>
      </c>
      <c r="T83" s="86">
        <v>0</v>
      </c>
      <c r="U83" s="86">
        <v>0</v>
      </c>
      <c r="V83" s="86">
        <v>0</v>
      </c>
      <c r="W83" s="86">
        <v>0</v>
      </c>
      <c r="X83" s="86">
        <v>0</v>
      </c>
      <c r="Y83" s="86">
        <v>0</v>
      </c>
      <c r="Z83" s="86">
        <v>0</v>
      </c>
      <c r="AA83" s="86">
        <v>0</v>
      </c>
      <c r="AB83" s="86">
        <v>0</v>
      </c>
      <c r="AC83" s="86">
        <v>0</v>
      </c>
      <c r="AD83" s="86">
        <v>0</v>
      </c>
      <c r="AE83" s="86">
        <v>0</v>
      </c>
      <c r="AF83" s="93">
        <f>SUM(H83,J83,L83,N83,P83,R83,T83,V83,X83)</f>
        <v>3</v>
      </c>
    </row>
    <row r="84" spans="1:32" ht="79.5" customHeight="1" x14ac:dyDescent="0.25">
      <c r="A84" s="84">
        <v>32</v>
      </c>
      <c r="B84" s="85" t="s">
        <v>163</v>
      </c>
      <c r="C84" s="91" t="s">
        <v>162</v>
      </c>
      <c r="D84" s="90" t="s">
        <v>161</v>
      </c>
      <c r="E84" s="103" t="s">
        <v>133</v>
      </c>
      <c r="F84" s="88">
        <v>0</v>
      </c>
      <c r="G84" s="88">
        <v>0</v>
      </c>
      <c r="H84" s="88">
        <v>0</v>
      </c>
      <c r="I84" s="86">
        <v>0</v>
      </c>
      <c r="J84" s="86">
        <v>20</v>
      </c>
      <c r="K84" s="86">
        <v>20</v>
      </c>
      <c r="L84" s="87">
        <v>20</v>
      </c>
      <c r="M84" s="86">
        <v>20</v>
      </c>
      <c r="N84" s="86">
        <v>0</v>
      </c>
      <c r="O84" s="86">
        <v>0</v>
      </c>
      <c r="P84" s="86">
        <v>0</v>
      </c>
      <c r="Q84" s="86">
        <v>0</v>
      </c>
      <c r="R84" s="86">
        <v>0</v>
      </c>
      <c r="S84" s="86">
        <v>0</v>
      </c>
      <c r="T84" s="86">
        <v>0</v>
      </c>
      <c r="U84" s="86">
        <v>0</v>
      </c>
      <c r="V84" s="86">
        <v>0</v>
      </c>
      <c r="W84" s="86">
        <v>0</v>
      </c>
      <c r="X84" s="86">
        <v>0</v>
      </c>
      <c r="Y84" s="86">
        <v>0</v>
      </c>
      <c r="Z84" s="86">
        <v>0</v>
      </c>
      <c r="AA84" s="86">
        <v>0</v>
      </c>
      <c r="AB84" s="86">
        <v>0</v>
      </c>
      <c r="AC84" s="86">
        <v>0</v>
      </c>
      <c r="AD84" s="86">
        <v>0</v>
      </c>
      <c r="AE84" s="86">
        <v>0</v>
      </c>
      <c r="AF84" s="93">
        <f>SUM(H84,J84,L84,N84,P84,R84,T84,V84,X84)</f>
        <v>40</v>
      </c>
    </row>
    <row r="85" spans="1:32" ht="11.25" hidden="1" customHeight="1" x14ac:dyDescent="0.25">
      <c r="A85" s="84">
        <v>29</v>
      </c>
      <c r="B85" s="85" t="s">
        <v>160</v>
      </c>
      <c r="C85" s="91" t="s">
        <v>92</v>
      </c>
      <c r="D85" s="90" t="s">
        <v>159</v>
      </c>
      <c r="E85" s="103" t="s">
        <v>155</v>
      </c>
      <c r="F85" s="88">
        <v>0</v>
      </c>
      <c r="G85" s="88">
        <v>0</v>
      </c>
      <c r="H85" s="88">
        <v>0</v>
      </c>
      <c r="I85" s="86">
        <v>0</v>
      </c>
      <c r="J85" s="86">
        <v>8</v>
      </c>
      <c r="K85" s="86">
        <v>0</v>
      </c>
      <c r="L85" s="87">
        <v>0</v>
      </c>
      <c r="M85" s="86">
        <v>0</v>
      </c>
      <c r="N85" s="86">
        <v>0</v>
      </c>
      <c r="O85" s="86">
        <v>0</v>
      </c>
      <c r="P85" s="86"/>
      <c r="Q85" s="86"/>
      <c r="R85" s="86">
        <v>0</v>
      </c>
      <c r="S85" s="86">
        <v>0</v>
      </c>
      <c r="T85" s="86">
        <v>0</v>
      </c>
      <c r="U85" s="86">
        <v>0</v>
      </c>
      <c r="V85" s="86">
        <v>0</v>
      </c>
      <c r="W85" s="86">
        <v>0</v>
      </c>
      <c r="X85" s="86">
        <v>0</v>
      </c>
      <c r="Y85" s="86">
        <v>0</v>
      </c>
      <c r="Z85" s="86"/>
      <c r="AA85" s="86"/>
      <c r="AB85" s="86"/>
      <c r="AC85" s="86"/>
      <c r="AD85" s="86"/>
      <c r="AE85" s="86"/>
      <c r="AF85" s="93">
        <f>SUM(H85,J85,L85,N85,P85,R85,T85,V85,X85)</f>
        <v>8</v>
      </c>
    </row>
    <row r="86" spans="1:32" ht="68.25" customHeight="1" x14ac:dyDescent="0.25">
      <c r="A86" s="84">
        <v>33</v>
      </c>
      <c r="B86" s="85" t="s">
        <v>158</v>
      </c>
      <c r="C86" s="91" t="s">
        <v>157</v>
      </c>
      <c r="D86" s="90" t="s">
        <v>156</v>
      </c>
      <c r="E86" s="103" t="s">
        <v>155</v>
      </c>
      <c r="F86" s="88">
        <v>0</v>
      </c>
      <c r="G86" s="88">
        <v>0</v>
      </c>
      <c r="H86" s="88">
        <v>0</v>
      </c>
      <c r="I86" s="86">
        <v>0</v>
      </c>
      <c r="J86" s="86">
        <v>2</v>
      </c>
      <c r="K86" s="86">
        <v>0</v>
      </c>
      <c r="L86" s="87">
        <v>0</v>
      </c>
      <c r="M86" s="86">
        <v>0</v>
      </c>
      <c r="N86" s="86">
        <v>0</v>
      </c>
      <c r="O86" s="86">
        <v>0</v>
      </c>
      <c r="P86" s="86">
        <v>0</v>
      </c>
      <c r="Q86" s="86">
        <v>0</v>
      </c>
      <c r="R86" s="86">
        <v>0</v>
      </c>
      <c r="S86" s="86">
        <v>0</v>
      </c>
      <c r="T86" s="86">
        <v>0</v>
      </c>
      <c r="U86" s="86">
        <v>0</v>
      </c>
      <c r="V86" s="86">
        <v>0</v>
      </c>
      <c r="W86" s="86">
        <v>0</v>
      </c>
      <c r="X86" s="86">
        <v>0</v>
      </c>
      <c r="Y86" s="86">
        <v>0</v>
      </c>
      <c r="Z86" s="86">
        <v>0</v>
      </c>
      <c r="AA86" s="86">
        <v>0</v>
      </c>
      <c r="AB86" s="86">
        <v>0</v>
      </c>
      <c r="AC86" s="86">
        <v>0</v>
      </c>
      <c r="AD86" s="86">
        <v>0</v>
      </c>
      <c r="AE86" s="86">
        <v>0</v>
      </c>
      <c r="AF86" s="93">
        <f>SUM(H86,J86,L86,N86,P86,R86,T86,V86,X86)</f>
        <v>2</v>
      </c>
    </row>
    <row r="87" spans="1:32" ht="66.75" customHeight="1" x14ac:dyDescent="0.25">
      <c r="A87" s="84">
        <v>34</v>
      </c>
      <c r="B87" s="85" t="s">
        <v>154</v>
      </c>
      <c r="C87" s="91" t="s">
        <v>153</v>
      </c>
      <c r="D87" s="90" t="s">
        <v>152</v>
      </c>
      <c r="E87" s="103" t="s">
        <v>133</v>
      </c>
      <c r="F87" s="88">
        <v>0</v>
      </c>
      <c r="G87" s="88">
        <v>0</v>
      </c>
      <c r="H87" s="88">
        <v>0</v>
      </c>
      <c r="I87" s="86">
        <v>0</v>
      </c>
      <c r="J87" s="86">
        <v>0</v>
      </c>
      <c r="K87" s="86">
        <v>0</v>
      </c>
      <c r="L87" s="87">
        <v>4</v>
      </c>
      <c r="M87" s="86">
        <v>4</v>
      </c>
      <c r="N87" s="86">
        <v>4</v>
      </c>
      <c r="O87" s="86">
        <v>4</v>
      </c>
      <c r="P87" s="86">
        <v>4</v>
      </c>
      <c r="Q87" s="86">
        <v>4</v>
      </c>
      <c r="R87" s="86">
        <v>4</v>
      </c>
      <c r="S87" s="86">
        <v>4</v>
      </c>
      <c r="T87" s="86">
        <v>4</v>
      </c>
      <c r="U87" s="86">
        <v>4</v>
      </c>
      <c r="V87" s="86">
        <v>4</v>
      </c>
      <c r="W87" s="86">
        <v>4</v>
      </c>
      <c r="X87" s="86">
        <v>4</v>
      </c>
      <c r="Y87" s="86">
        <v>4</v>
      </c>
      <c r="Z87" s="86">
        <v>4</v>
      </c>
      <c r="AA87" s="86">
        <v>4</v>
      </c>
      <c r="AB87" s="86">
        <v>4</v>
      </c>
      <c r="AC87" s="86">
        <v>4</v>
      </c>
      <c r="AD87" s="86">
        <v>4</v>
      </c>
      <c r="AE87" s="86">
        <v>4</v>
      </c>
      <c r="AF87" s="86">
        <v>4</v>
      </c>
    </row>
    <row r="88" spans="1:32" s="8" customFormat="1" ht="48" customHeight="1" x14ac:dyDescent="0.25">
      <c r="A88" s="218">
        <v>35</v>
      </c>
      <c r="B88" s="221" t="s">
        <v>151</v>
      </c>
      <c r="C88" s="102" t="s">
        <v>103</v>
      </c>
      <c r="D88" s="224" t="s">
        <v>150</v>
      </c>
      <c r="E88" s="96" t="s">
        <v>133</v>
      </c>
      <c r="F88" s="96" t="s">
        <v>26</v>
      </c>
      <c r="G88" s="96" t="s">
        <v>26</v>
      </c>
      <c r="H88" s="96" t="s">
        <v>26</v>
      </c>
      <c r="I88" s="98">
        <v>0</v>
      </c>
      <c r="J88" s="98">
        <v>0</v>
      </c>
      <c r="K88" s="98">
        <v>0</v>
      </c>
      <c r="L88" s="98">
        <v>0</v>
      </c>
      <c r="M88" s="98">
        <v>0</v>
      </c>
      <c r="N88" s="94">
        <f t="shared" ref="N88:AC88" si="7">N89+N90+N91+N92</f>
        <v>458</v>
      </c>
      <c r="O88" s="94">
        <f t="shared" si="7"/>
        <v>245</v>
      </c>
      <c r="P88" s="94">
        <f t="shared" si="7"/>
        <v>77</v>
      </c>
      <c r="Q88" s="94">
        <f t="shared" si="7"/>
        <v>24</v>
      </c>
      <c r="R88" s="94">
        <f t="shared" si="7"/>
        <v>167</v>
      </c>
      <c r="S88" s="94">
        <f t="shared" si="7"/>
        <v>83</v>
      </c>
      <c r="T88" s="94">
        <f t="shared" si="7"/>
        <v>35</v>
      </c>
      <c r="U88" s="94">
        <f t="shared" si="7"/>
        <v>17</v>
      </c>
      <c r="V88" s="94">
        <f t="shared" si="7"/>
        <v>47</v>
      </c>
      <c r="W88" s="94">
        <f t="shared" si="7"/>
        <v>14</v>
      </c>
      <c r="X88" s="94">
        <f t="shared" si="7"/>
        <v>76</v>
      </c>
      <c r="Y88" s="94">
        <f t="shared" si="7"/>
        <v>37</v>
      </c>
      <c r="Z88" s="94">
        <f t="shared" si="7"/>
        <v>71</v>
      </c>
      <c r="AA88" s="94">
        <f t="shared" si="7"/>
        <v>35</v>
      </c>
      <c r="AB88" s="94">
        <f t="shared" si="7"/>
        <v>69</v>
      </c>
      <c r="AC88" s="94">
        <f t="shared" si="7"/>
        <v>34</v>
      </c>
      <c r="AD88" s="94">
        <v>69</v>
      </c>
      <c r="AE88" s="94">
        <v>34</v>
      </c>
      <c r="AF88" s="93">
        <f>N88+P88+R88+T88+V88+X88+Z88+AB88+AD88</f>
        <v>1069</v>
      </c>
    </row>
    <row r="89" spans="1:32" s="8" customFormat="1" ht="31.5" customHeight="1" x14ac:dyDescent="0.25">
      <c r="A89" s="219"/>
      <c r="B89" s="222"/>
      <c r="C89" s="91" t="s">
        <v>43</v>
      </c>
      <c r="D89" s="224"/>
      <c r="E89" s="96" t="s">
        <v>133</v>
      </c>
      <c r="F89" s="96" t="s">
        <v>26</v>
      </c>
      <c r="G89" s="96" t="s">
        <v>26</v>
      </c>
      <c r="H89" s="96" t="s">
        <v>26</v>
      </c>
      <c r="I89" s="98">
        <v>0</v>
      </c>
      <c r="J89" s="98">
        <v>0</v>
      </c>
      <c r="K89" s="98">
        <v>0</v>
      </c>
      <c r="L89" s="98">
        <v>0</v>
      </c>
      <c r="M89" s="98">
        <v>0</v>
      </c>
      <c r="N89" s="94">
        <v>288</v>
      </c>
      <c r="O89" s="94">
        <v>144</v>
      </c>
      <c r="P89" s="94">
        <v>7</v>
      </c>
      <c r="Q89" s="94">
        <v>3</v>
      </c>
      <c r="R89" s="94">
        <v>7</v>
      </c>
      <c r="S89" s="94">
        <v>3</v>
      </c>
      <c r="T89" s="94">
        <v>13</v>
      </c>
      <c r="U89" s="94">
        <v>6</v>
      </c>
      <c r="V89" s="95">
        <v>10</v>
      </c>
      <c r="W89" s="86">
        <v>5</v>
      </c>
      <c r="X89" s="95">
        <v>17</v>
      </c>
      <c r="Y89" s="86">
        <v>8</v>
      </c>
      <c r="Z89" s="86">
        <v>17</v>
      </c>
      <c r="AA89" s="86">
        <v>8</v>
      </c>
      <c r="AB89" s="86">
        <v>15</v>
      </c>
      <c r="AC89" s="86">
        <v>7</v>
      </c>
      <c r="AD89" s="86">
        <v>15</v>
      </c>
      <c r="AE89" s="86">
        <v>7</v>
      </c>
      <c r="AF89" s="93">
        <f>N89+P89+R89+T89+V89+X89+Z89+AB89+AD89</f>
        <v>389</v>
      </c>
    </row>
    <row r="90" spans="1:32" s="8" customFormat="1" ht="31.5" customHeight="1" x14ac:dyDescent="0.25">
      <c r="A90" s="219"/>
      <c r="B90" s="222"/>
      <c r="C90" s="91" t="s">
        <v>44</v>
      </c>
      <c r="D90" s="224"/>
      <c r="E90" s="96" t="s">
        <v>133</v>
      </c>
      <c r="F90" s="96" t="s">
        <v>26</v>
      </c>
      <c r="G90" s="96" t="s">
        <v>26</v>
      </c>
      <c r="H90" s="96" t="s">
        <v>26</v>
      </c>
      <c r="I90" s="98">
        <v>0</v>
      </c>
      <c r="J90" s="98">
        <v>0</v>
      </c>
      <c r="K90" s="98">
        <v>0</v>
      </c>
      <c r="L90" s="98">
        <v>0</v>
      </c>
      <c r="M90" s="98">
        <v>0</v>
      </c>
      <c r="N90" s="94">
        <v>44</v>
      </c>
      <c r="O90" s="94">
        <v>22</v>
      </c>
      <c r="P90" s="94">
        <v>13</v>
      </c>
      <c r="Q90" s="94">
        <v>6</v>
      </c>
      <c r="R90" s="94">
        <v>50</v>
      </c>
      <c r="S90" s="94">
        <v>25</v>
      </c>
      <c r="T90" s="94">
        <v>0</v>
      </c>
      <c r="U90" s="94">
        <v>0</v>
      </c>
      <c r="V90" s="95">
        <v>18</v>
      </c>
      <c r="W90" s="94">
        <v>0</v>
      </c>
      <c r="X90" s="95">
        <v>4</v>
      </c>
      <c r="Y90" s="94">
        <v>2</v>
      </c>
      <c r="Z90" s="94">
        <v>4</v>
      </c>
      <c r="AA90" s="94">
        <v>2</v>
      </c>
      <c r="AB90" s="94">
        <v>4</v>
      </c>
      <c r="AC90" s="94">
        <v>2</v>
      </c>
      <c r="AD90" s="94">
        <v>4</v>
      </c>
      <c r="AE90" s="94">
        <v>2</v>
      </c>
      <c r="AF90" s="93">
        <f>N90+P90+R90+T90+V90+X90+Z90+AB90+AD90</f>
        <v>141</v>
      </c>
    </row>
    <row r="91" spans="1:32" s="8" customFormat="1" ht="31.5" customHeight="1" x14ac:dyDescent="0.25">
      <c r="A91" s="219"/>
      <c r="B91" s="222"/>
      <c r="C91" s="91" t="s">
        <v>92</v>
      </c>
      <c r="D91" s="224"/>
      <c r="E91" s="96" t="s">
        <v>133</v>
      </c>
      <c r="F91" s="96" t="s">
        <v>26</v>
      </c>
      <c r="G91" s="96" t="s">
        <v>26</v>
      </c>
      <c r="H91" s="96" t="s">
        <v>26</v>
      </c>
      <c r="I91" s="98">
        <v>0</v>
      </c>
      <c r="J91" s="98">
        <v>0</v>
      </c>
      <c r="K91" s="98">
        <v>0</v>
      </c>
      <c r="L91" s="98">
        <v>0</v>
      </c>
      <c r="M91" s="98">
        <v>0</v>
      </c>
      <c r="N91" s="94">
        <v>61</v>
      </c>
      <c r="O91" s="94">
        <v>47</v>
      </c>
      <c r="P91" s="94">
        <v>0</v>
      </c>
      <c r="Q91" s="94">
        <v>0</v>
      </c>
      <c r="R91" s="94">
        <v>60</v>
      </c>
      <c r="S91" s="94">
        <v>30</v>
      </c>
      <c r="T91" s="86">
        <v>0</v>
      </c>
      <c r="U91" s="86">
        <f>T91/2</f>
        <v>0</v>
      </c>
      <c r="V91" s="86">
        <v>1</v>
      </c>
      <c r="W91" s="86">
        <v>0</v>
      </c>
      <c r="X91" s="95">
        <v>40</v>
      </c>
      <c r="Y91" s="86">
        <f>X91/2</f>
        <v>20</v>
      </c>
      <c r="Z91" s="86">
        <v>40</v>
      </c>
      <c r="AA91" s="86">
        <v>20</v>
      </c>
      <c r="AB91" s="86">
        <v>40</v>
      </c>
      <c r="AC91" s="86">
        <v>20</v>
      </c>
      <c r="AD91" s="86">
        <v>40</v>
      </c>
      <c r="AE91" s="86">
        <v>20</v>
      </c>
      <c r="AF91" s="93">
        <f>N91+P91+R91+T91+V91+X91+Z91+AB91+AD91</f>
        <v>282</v>
      </c>
    </row>
    <row r="92" spans="1:32" s="8" customFormat="1" ht="31.5" customHeight="1" x14ac:dyDescent="0.25">
      <c r="A92" s="219"/>
      <c r="B92" s="222"/>
      <c r="C92" s="91" t="s">
        <v>45</v>
      </c>
      <c r="D92" s="224"/>
      <c r="E92" s="96" t="s">
        <v>133</v>
      </c>
      <c r="F92" s="96" t="s">
        <v>26</v>
      </c>
      <c r="G92" s="96" t="s">
        <v>26</v>
      </c>
      <c r="H92" s="96" t="s">
        <v>26</v>
      </c>
      <c r="I92" s="98">
        <v>0</v>
      </c>
      <c r="J92" s="98">
        <v>0</v>
      </c>
      <c r="K92" s="98">
        <v>0</v>
      </c>
      <c r="L92" s="98">
        <v>0</v>
      </c>
      <c r="M92" s="98">
        <v>0</v>
      </c>
      <c r="N92" s="94">
        <v>65</v>
      </c>
      <c r="O92" s="94">
        <v>32</v>
      </c>
      <c r="P92" s="94">
        <v>57</v>
      </c>
      <c r="Q92" s="94">
        <v>15</v>
      </c>
      <c r="R92" s="94">
        <v>50</v>
      </c>
      <c r="S92" s="94">
        <v>25</v>
      </c>
      <c r="T92" s="94">
        <v>22</v>
      </c>
      <c r="U92" s="94">
        <f>T92/2</f>
        <v>11</v>
      </c>
      <c r="V92" s="95">
        <v>18</v>
      </c>
      <c r="W92" s="94">
        <v>9</v>
      </c>
      <c r="X92" s="95">
        <v>15</v>
      </c>
      <c r="Y92" s="94">
        <f>7</f>
        <v>7</v>
      </c>
      <c r="Z92" s="94">
        <v>10</v>
      </c>
      <c r="AA92" s="94">
        <v>5</v>
      </c>
      <c r="AB92" s="94">
        <v>10</v>
      </c>
      <c r="AC92" s="94">
        <v>5</v>
      </c>
      <c r="AD92" s="94">
        <v>10</v>
      </c>
      <c r="AE92" s="94">
        <v>5</v>
      </c>
      <c r="AF92" s="93">
        <f>N92+P92+R92+T92+V92+X92+Z92+AB92+AD92</f>
        <v>257</v>
      </c>
    </row>
    <row r="93" spans="1:32" s="8" customFormat="1" ht="31.5" customHeight="1" x14ac:dyDescent="0.25">
      <c r="A93" s="219"/>
      <c r="B93" s="222"/>
      <c r="C93" s="102" t="s">
        <v>149</v>
      </c>
      <c r="D93" s="225" t="s">
        <v>148</v>
      </c>
      <c r="E93" s="101" t="s">
        <v>146</v>
      </c>
      <c r="F93" s="101" t="s">
        <v>26</v>
      </c>
      <c r="G93" s="101" t="s">
        <v>26</v>
      </c>
      <c r="H93" s="101" t="s">
        <v>26</v>
      </c>
      <c r="I93" s="100">
        <v>0</v>
      </c>
      <c r="J93" s="100">
        <v>0</v>
      </c>
      <c r="K93" s="100">
        <v>0</v>
      </c>
      <c r="L93" s="100">
        <v>0</v>
      </c>
      <c r="M93" s="100">
        <v>0</v>
      </c>
      <c r="N93" s="99">
        <v>0</v>
      </c>
      <c r="O93" s="99">
        <v>0</v>
      </c>
      <c r="P93" s="99">
        <v>0</v>
      </c>
      <c r="Q93" s="99">
        <v>0</v>
      </c>
      <c r="R93" s="99">
        <v>0</v>
      </c>
      <c r="S93" s="99">
        <v>0</v>
      </c>
      <c r="T93" s="99">
        <f t="shared" ref="T93:AF93" si="8">T94+T96+T95</f>
        <v>44</v>
      </c>
      <c r="U93" s="99">
        <f t="shared" si="8"/>
        <v>2</v>
      </c>
      <c r="V93" s="99">
        <f t="shared" si="8"/>
        <v>69</v>
      </c>
      <c r="W93" s="99">
        <f t="shared" si="8"/>
        <v>20.5</v>
      </c>
      <c r="X93" s="99">
        <f t="shared" si="8"/>
        <v>32</v>
      </c>
      <c r="Y93" s="99">
        <f t="shared" si="8"/>
        <v>16</v>
      </c>
      <c r="Z93" s="99">
        <f t="shared" si="8"/>
        <v>32</v>
      </c>
      <c r="AA93" s="99">
        <f t="shared" si="8"/>
        <v>16</v>
      </c>
      <c r="AB93" s="99">
        <f t="shared" si="8"/>
        <v>32</v>
      </c>
      <c r="AC93" s="99">
        <f t="shared" si="8"/>
        <v>16</v>
      </c>
      <c r="AD93" s="99">
        <f t="shared" si="8"/>
        <v>32</v>
      </c>
      <c r="AE93" s="99">
        <f t="shared" si="8"/>
        <v>16</v>
      </c>
      <c r="AF93" s="99">
        <f t="shared" si="8"/>
        <v>241</v>
      </c>
    </row>
    <row r="94" spans="1:32" s="8" customFormat="1" ht="39.75" customHeight="1" x14ac:dyDescent="0.25">
      <c r="A94" s="219"/>
      <c r="B94" s="222"/>
      <c r="C94" s="91" t="s">
        <v>44</v>
      </c>
      <c r="D94" s="226"/>
      <c r="E94" s="96" t="s">
        <v>133</v>
      </c>
      <c r="F94" s="96" t="s">
        <v>26</v>
      </c>
      <c r="G94" s="96" t="s">
        <v>26</v>
      </c>
      <c r="H94" s="96" t="s">
        <v>26</v>
      </c>
      <c r="I94" s="98">
        <v>0</v>
      </c>
      <c r="J94" s="98">
        <v>0</v>
      </c>
      <c r="K94" s="98">
        <v>0</v>
      </c>
      <c r="L94" s="98">
        <v>0</v>
      </c>
      <c r="M94" s="98">
        <v>0</v>
      </c>
      <c r="N94" s="94">
        <v>0</v>
      </c>
      <c r="O94" s="94">
        <v>0</v>
      </c>
      <c r="P94" s="94">
        <v>0</v>
      </c>
      <c r="Q94" s="94">
        <v>0</v>
      </c>
      <c r="R94" s="94">
        <v>0</v>
      </c>
      <c r="S94" s="94">
        <v>0</v>
      </c>
      <c r="T94" s="94">
        <v>22</v>
      </c>
      <c r="U94" s="94">
        <v>2</v>
      </c>
      <c r="V94" s="95">
        <v>27</v>
      </c>
      <c r="W94" s="94">
        <v>0</v>
      </c>
      <c r="X94" s="95">
        <v>12</v>
      </c>
      <c r="Y94" s="94">
        <v>6</v>
      </c>
      <c r="Z94" s="94">
        <v>12</v>
      </c>
      <c r="AA94" s="94">
        <v>6</v>
      </c>
      <c r="AB94" s="94">
        <v>12</v>
      </c>
      <c r="AC94" s="94">
        <v>6</v>
      </c>
      <c r="AD94" s="94">
        <v>12</v>
      </c>
      <c r="AE94" s="94">
        <v>6</v>
      </c>
      <c r="AF94" s="93">
        <f>N94+P94+R94+T94+V94+X94+Z94+AB94+AD94</f>
        <v>97</v>
      </c>
    </row>
    <row r="95" spans="1:32" s="8" customFormat="1" ht="39.75" customHeight="1" x14ac:dyDescent="0.25">
      <c r="A95" s="219"/>
      <c r="B95" s="222"/>
      <c r="C95" s="91" t="s">
        <v>92</v>
      </c>
      <c r="D95" s="226"/>
      <c r="E95" s="96" t="s">
        <v>146</v>
      </c>
      <c r="F95" s="96" t="s">
        <v>26</v>
      </c>
      <c r="G95" s="96" t="s">
        <v>26</v>
      </c>
      <c r="H95" s="96" t="s">
        <v>26</v>
      </c>
      <c r="I95" s="98">
        <v>0</v>
      </c>
      <c r="J95" s="98">
        <v>0</v>
      </c>
      <c r="K95" s="98">
        <v>0</v>
      </c>
      <c r="L95" s="98">
        <v>0</v>
      </c>
      <c r="M95" s="98">
        <v>0</v>
      </c>
      <c r="N95" s="94">
        <v>0</v>
      </c>
      <c r="O95" s="94">
        <v>0</v>
      </c>
      <c r="P95" s="94">
        <v>0</v>
      </c>
      <c r="Q95" s="94">
        <v>0</v>
      </c>
      <c r="R95" s="94">
        <v>0</v>
      </c>
      <c r="S95" s="94">
        <v>0</v>
      </c>
      <c r="T95" s="94">
        <v>0</v>
      </c>
      <c r="U95" s="94">
        <v>0</v>
      </c>
      <c r="V95" s="95">
        <v>15</v>
      </c>
      <c r="W95" s="94">
        <v>7</v>
      </c>
      <c r="X95" s="95">
        <v>0</v>
      </c>
      <c r="Y95" s="94">
        <v>0</v>
      </c>
      <c r="Z95" s="94">
        <v>0</v>
      </c>
      <c r="AA95" s="94">
        <v>0</v>
      </c>
      <c r="AB95" s="94">
        <v>0</v>
      </c>
      <c r="AC95" s="94">
        <v>0</v>
      </c>
      <c r="AD95" s="94">
        <v>0</v>
      </c>
      <c r="AE95" s="94">
        <v>0</v>
      </c>
      <c r="AF95" s="93">
        <f>N95+P95+R95+T95+V95+X95+Z95+AB95+AD95</f>
        <v>15</v>
      </c>
    </row>
    <row r="96" spans="1:32" s="8" customFormat="1" ht="39.75" customHeight="1" x14ac:dyDescent="0.25">
      <c r="A96" s="220"/>
      <c r="B96" s="223"/>
      <c r="C96" s="91" t="s">
        <v>45</v>
      </c>
      <c r="D96" s="227"/>
      <c r="E96" s="96" t="s">
        <v>146</v>
      </c>
      <c r="F96" s="96" t="s">
        <v>26</v>
      </c>
      <c r="G96" s="96" t="s">
        <v>26</v>
      </c>
      <c r="H96" s="96" t="s">
        <v>26</v>
      </c>
      <c r="I96" s="98">
        <v>0</v>
      </c>
      <c r="J96" s="98">
        <v>0</v>
      </c>
      <c r="K96" s="98">
        <v>0</v>
      </c>
      <c r="L96" s="98">
        <v>0</v>
      </c>
      <c r="M96" s="98">
        <v>0</v>
      </c>
      <c r="N96" s="94">
        <v>0</v>
      </c>
      <c r="O96" s="94">
        <v>0</v>
      </c>
      <c r="P96" s="94">
        <v>0</v>
      </c>
      <c r="Q96" s="94">
        <v>0</v>
      </c>
      <c r="R96" s="94">
        <v>0</v>
      </c>
      <c r="S96" s="94">
        <v>0</v>
      </c>
      <c r="T96" s="94">
        <v>22</v>
      </c>
      <c r="U96" s="94">
        <v>0</v>
      </c>
      <c r="V96" s="95">
        <v>27</v>
      </c>
      <c r="W96" s="94">
        <f>V96/2</f>
        <v>13.5</v>
      </c>
      <c r="X96" s="95">
        <v>20</v>
      </c>
      <c r="Y96" s="94">
        <v>10</v>
      </c>
      <c r="Z96" s="94">
        <v>20</v>
      </c>
      <c r="AA96" s="94">
        <v>10</v>
      </c>
      <c r="AB96" s="94">
        <v>20</v>
      </c>
      <c r="AC96" s="94">
        <v>10</v>
      </c>
      <c r="AD96" s="94">
        <v>20</v>
      </c>
      <c r="AE96" s="94">
        <v>10</v>
      </c>
      <c r="AF96" s="93">
        <f>N96+P96+R96+T96+V96+X96+Z96+AB96+AD96</f>
        <v>129</v>
      </c>
    </row>
    <row r="97" spans="1:32" s="92" customFormat="1" ht="114.75" customHeight="1" x14ac:dyDescent="0.25">
      <c r="A97" s="156">
        <v>36</v>
      </c>
      <c r="B97" s="139" t="s">
        <v>289</v>
      </c>
      <c r="C97" s="153" t="s">
        <v>53</v>
      </c>
      <c r="D97" s="91" t="s">
        <v>147</v>
      </c>
      <c r="E97" s="97" t="s">
        <v>146</v>
      </c>
      <c r="F97" s="96" t="s">
        <v>26</v>
      </c>
      <c r="G97" s="96" t="s">
        <v>26</v>
      </c>
      <c r="H97" s="96" t="s">
        <v>26</v>
      </c>
      <c r="I97" s="96" t="s">
        <v>26</v>
      </c>
      <c r="J97" s="96" t="s">
        <v>26</v>
      </c>
      <c r="K97" s="96" t="s">
        <v>26</v>
      </c>
      <c r="L97" s="96" t="s">
        <v>26</v>
      </c>
      <c r="M97" s="96" t="s">
        <v>26</v>
      </c>
      <c r="N97" s="96" t="s">
        <v>26</v>
      </c>
      <c r="O97" s="96" t="s">
        <v>26</v>
      </c>
      <c r="P97" s="96" t="s">
        <v>26</v>
      </c>
      <c r="Q97" s="96" t="s">
        <v>26</v>
      </c>
      <c r="R97" s="96" t="s">
        <v>26</v>
      </c>
      <c r="S97" s="96" t="s">
        <v>26</v>
      </c>
      <c r="T97" s="96" t="s">
        <v>26</v>
      </c>
      <c r="U97" s="96" t="s">
        <v>26</v>
      </c>
      <c r="V97" s="96" t="s">
        <v>26</v>
      </c>
      <c r="W97" s="96" t="s">
        <v>26</v>
      </c>
      <c r="X97" s="95">
        <v>3</v>
      </c>
      <c r="Y97" s="94">
        <v>0</v>
      </c>
      <c r="Z97" s="94">
        <v>3</v>
      </c>
      <c r="AA97" s="94">
        <v>0</v>
      </c>
      <c r="AB97" s="94">
        <v>0</v>
      </c>
      <c r="AC97" s="94">
        <v>0</v>
      </c>
      <c r="AD97" s="94">
        <v>0</v>
      </c>
      <c r="AE97" s="94">
        <v>0</v>
      </c>
      <c r="AF97" s="93">
        <v>3</v>
      </c>
    </row>
    <row r="98" spans="1:32" s="140" customFormat="1" ht="38.25" x14ac:dyDescent="0.25">
      <c r="A98" s="156">
        <v>37</v>
      </c>
      <c r="B98" s="154" t="s">
        <v>292</v>
      </c>
      <c r="C98" s="91" t="s">
        <v>144</v>
      </c>
      <c r="D98" s="90" t="s">
        <v>293</v>
      </c>
      <c r="E98" s="97" t="s">
        <v>146</v>
      </c>
      <c r="F98" s="158">
        <f>F99</f>
        <v>2</v>
      </c>
      <c r="G98" s="158">
        <f t="shared" ref="G98:AF98" si="9">G99</f>
        <v>2</v>
      </c>
      <c r="H98" s="158">
        <f t="shared" si="9"/>
        <v>2</v>
      </c>
      <c r="I98" s="158">
        <f t="shared" si="9"/>
        <v>0</v>
      </c>
      <c r="J98" s="158">
        <f t="shared" si="9"/>
        <v>2</v>
      </c>
      <c r="K98" s="158">
        <f t="shared" si="9"/>
        <v>0</v>
      </c>
      <c r="L98" s="158">
        <f t="shared" si="9"/>
        <v>3</v>
      </c>
      <c r="M98" s="158">
        <f t="shared" si="9"/>
        <v>0</v>
      </c>
      <c r="N98" s="158">
        <f t="shared" si="9"/>
        <v>3</v>
      </c>
      <c r="O98" s="158">
        <f t="shared" si="9"/>
        <v>0</v>
      </c>
      <c r="P98" s="158">
        <f t="shared" si="9"/>
        <v>6</v>
      </c>
      <c r="Q98" s="158">
        <f t="shared" si="9"/>
        <v>0</v>
      </c>
      <c r="R98" s="158">
        <f t="shared" si="9"/>
        <v>6</v>
      </c>
      <c r="S98" s="158">
        <f t="shared" si="9"/>
        <v>0</v>
      </c>
      <c r="T98" s="158">
        <f t="shared" si="9"/>
        <v>6</v>
      </c>
      <c r="U98" s="158">
        <f t="shared" si="9"/>
        <v>0</v>
      </c>
      <c r="V98" s="158">
        <f t="shared" si="9"/>
        <v>4</v>
      </c>
      <c r="W98" s="158">
        <f t="shared" si="9"/>
        <v>0</v>
      </c>
      <c r="X98" s="158">
        <f t="shared" si="9"/>
        <v>4</v>
      </c>
      <c r="Y98" s="158">
        <f t="shared" si="9"/>
        <v>0</v>
      </c>
      <c r="Z98" s="158">
        <f t="shared" si="9"/>
        <v>4</v>
      </c>
      <c r="AA98" s="158">
        <f t="shared" si="9"/>
        <v>0</v>
      </c>
      <c r="AB98" s="158">
        <f t="shared" si="9"/>
        <v>4</v>
      </c>
      <c r="AC98" s="158">
        <f t="shared" si="9"/>
        <v>0</v>
      </c>
      <c r="AD98" s="158">
        <f t="shared" si="9"/>
        <v>4</v>
      </c>
      <c r="AE98" s="158">
        <f t="shared" si="9"/>
        <v>0</v>
      </c>
      <c r="AF98" s="158">
        <f t="shared" si="9"/>
        <v>4</v>
      </c>
    </row>
    <row r="99" spans="1:32" ht="69" customHeight="1" x14ac:dyDescent="0.25">
      <c r="A99" s="153">
        <v>38</v>
      </c>
      <c r="B99" s="154" t="s">
        <v>145</v>
      </c>
      <c r="C99" s="91" t="s">
        <v>144</v>
      </c>
      <c r="D99" s="90" t="s">
        <v>143</v>
      </c>
      <c r="E99" s="89" t="s">
        <v>133</v>
      </c>
      <c r="F99" s="88">
        <v>2</v>
      </c>
      <c r="G99" s="88">
        <v>2</v>
      </c>
      <c r="H99" s="88">
        <v>2</v>
      </c>
      <c r="I99" s="86">
        <v>0</v>
      </c>
      <c r="J99" s="86">
        <v>2</v>
      </c>
      <c r="K99" s="86">
        <v>0</v>
      </c>
      <c r="L99" s="87">
        <v>3</v>
      </c>
      <c r="M99" s="86">
        <v>0</v>
      </c>
      <c r="N99" s="86">
        <v>3</v>
      </c>
      <c r="O99" s="86">
        <v>0</v>
      </c>
      <c r="P99" s="86">
        <v>6</v>
      </c>
      <c r="Q99" s="86">
        <v>0</v>
      </c>
      <c r="R99" s="86">
        <v>6</v>
      </c>
      <c r="S99" s="86">
        <v>0</v>
      </c>
      <c r="T99" s="86">
        <v>6</v>
      </c>
      <c r="U99" s="86">
        <v>0</v>
      </c>
      <c r="V99" s="86">
        <v>4</v>
      </c>
      <c r="W99" s="86">
        <v>0</v>
      </c>
      <c r="X99" s="86">
        <f>1+2+1</f>
        <v>4</v>
      </c>
      <c r="Y99" s="86">
        <v>0</v>
      </c>
      <c r="Z99" s="86">
        <v>4</v>
      </c>
      <c r="AA99" s="86">
        <v>0</v>
      </c>
      <c r="AB99" s="86">
        <v>4</v>
      </c>
      <c r="AC99" s="86">
        <v>0</v>
      </c>
      <c r="AD99" s="86">
        <v>4</v>
      </c>
      <c r="AE99" s="86">
        <v>0</v>
      </c>
      <c r="AF99" s="86">
        <f>AB99</f>
        <v>4</v>
      </c>
    </row>
    <row r="100" spans="1:32" ht="23.25" customHeight="1" x14ac:dyDescent="0.25">
      <c r="A100" s="228" t="s">
        <v>111</v>
      </c>
      <c r="B100" s="228"/>
      <c r="C100" s="228"/>
      <c r="D100" s="228"/>
      <c r="E100" s="228"/>
      <c r="F100" s="228"/>
      <c r="G100" s="228"/>
      <c r="H100" s="228"/>
      <c r="I100" s="228"/>
      <c r="J100" s="228"/>
      <c r="K100" s="228"/>
      <c r="L100" s="228"/>
      <c r="M100" s="228"/>
      <c r="N100" s="228"/>
      <c r="O100" s="228"/>
      <c r="P100" s="228"/>
      <c r="Q100" s="228"/>
      <c r="R100" s="228"/>
      <c r="S100" s="228"/>
      <c r="T100" s="228"/>
      <c r="U100" s="228"/>
      <c r="V100" s="228"/>
      <c r="W100" s="228"/>
      <c r="X100" s="228"/>
      <c r="Y100" s="228"/>
      <c r="Z100" s="228"/>
      <c r="AA100" s="228"/>
      <c r="AB100" s="228"/>
      <c r="AC100" s="228"/>
      <c r="AD100" s="228"/>
      <c r="AE100" s="228"/>
      <c r="AF100" s="228"/>
    </row>
    <row r="101" spans="1:32" ht="81" customHeight="1" x14ac:dyDescent="0.25">
      <c r="A101" s="84">
        <v>39</v>
      </c>
      <c r="B101" s="135" t="s">
        <v>142</v>
      </c>
      <c r="C101" s="84" t="s">
        <v>53</v>
      </c>
      <c r="D101" s="85" t="s">
        <v>141</v>
      </c>
      <c r="E101" s="84" t="s">
        <v>127</v>
      </c>
      <c r="F101" s="84">
        <v>0</v>
      </c>
      <c r="G101" s="84">
        <v>0</v>
      </c>
      <c r="H101" s="84">
        <v>0</v>
      </c>
      <c r="I101" s="84">
        <v>0</v>
      </c>
      <c r="J101" s="84">
        <v>50</v>
      </c>
      <c r="K101" s="84">
        <v>0</v>
      </c>
      <c r="L101" s="84">
        <v>0</v>
      </c>
      <c r="M101" s="84">
        <v>0</v>
      </c>
      <c r="N101" s="84">
        <v>0</v>
      </c>
      <c r="O101" s="84">
        <v>0</v>
      </c>
      <c r="P101" s="84">
        <v>0</v>
      </c>
      <c r="Q101" s="84">
        <v>0</v>
      </c>
      <c r="R101" s="84">
        <v>0</v>
      </c>
      <c r="S101" s="84">
        <v>0</v>
      </c>
      <c r="T101" s="84">
        <v>0</v>
      </c>
      <c r="U101" s="84">
        <v>0</v>
      </c>
      <c r="V101" s="84">
        <v>0</v>
      </c>
      <c r="W101" s="84">
        <v>0</v>
      </c>
      <c r="X101" s="84">
        <v>0</v>
      </c>
      <c r="Y101" s="153">
        <v>0</v>
      </c>
      <c r="Z101" s="153">
        <v>0</v>
      </c>
      <c r="AA101" s="153">
        <v>0</v>
      </c>
      <c r="AB101" s="153">
        <v>0</v>
      </c>
      <c r="AC101" s="153">
        <v>0</v>
      </c>
      <c r="AD101" s="153">
        <v>0</v>
      </c>
      <c r="AE101" s="153">
        <v>0</v>
      </c>
      <c r="AF101" s="153">
        <v>50</v>
      </c>
    </row>
    <row r="102" spans="1:32" ht="69" customHeight="1" x14ac:dyDescent="0.25">
      <c r="A102" s="214">
        <v>40</v>
      </c>
      <c r="B102" s="215" t="s">
        <v>140</v>
      </c>
      <c r="C102" s="214" t="s">
        <v>53</v>
      </c>
      <c r="D102" s="85" t="s">
        <v>139</v>
      </c>
      <c r="E102" s="84" t="s">
        <v>127</v>
      </c>
      <c r="F102" s="84">
        <v>0</v>
      </c>
      <c r="G102" s="84">
        <v>0</v>
      </c>
      <c r="H102" s="84">
        <v>0</v>
      </c>
      <c r="I102" s="84">
        <v>0</v>
      </c>
      <c r="J102" s="84">
        <v>100</v>
      </c>
      <c r="K102" s="84">
        <v>0</v>
      </c>
      <c r="L102" s="84">
        <v>0</v>
      </c>
      <c r="M102" s="84">
        <v>0</v>
      </c>
      <c r="N102" s="84">
        <v>0</v>
      </c>
      <c r="O102" s="84">
        <v>0</v>
      </c>
      <c r="P102" s="84">
        <v>0</v>
      </c>
      <c r="Q102" s="84">
        <v>0</v>
      </c>
      <c r="R102" s="84">
        <v>0</v>
      </c>
      <c r="S102" s="84">
        <v>0</v>
      </c>
      <c r="T102" s="84">
        <v>0</v>
      </c>
      <c r="U102" s="84">
        <v>0</v>
      </c>
      <c r="V102" s="84">
        <v>0</v>
      </c>
      <c r="W102" s="84">
        <v>0</v>
      </c>
      <c r="X102" s="84">
        <v>0</v>
      </c>
      <c r="Y102" s="153">
        <v>0</v>
      </c>
      <c r="Z102" s="153">
        <v>0</v>
      </c>
      <c r="AA102" s="153">
        <v>0</v>
      </c>
      <c r="AB102" s="153">
        <v>0</v>
      </c>
      <c r="AC102" s="153">
        <v>0</v>
      </c>
      <c r="AD102" s="153">
        <v>0</v>
      </c>
      <c r="AE102" s="153">
        <v>0</v>
      </c>
      <c r="AF102" s="153">
        <v>100</v>
      </c>
    </row>
    <row r="103" spans="1:32" ht="54" customHeight="1" x14ac:dyDescent="0.25">
      <c r="A103" s="214"/>
      <c r="B103" s="215"/>
      <c r="C103" s="214"/>
      <c r="D103" s="85" t="s">
        <v>138</v>
      </c>
      <c r="E103" s="84" t="s">
        <v>127</v>
      </c>
      <c r="F103" s="84">
        <v>0</v>
      </c>
      <c r="G103" s="84">
        <v>0</v>
      </c>
      <c r="H103" s="84">
        <v>0</v>
      </c>
      <c r="I103" s="84">
        <v>0</v>
      </c>
      <c r="J103" s="84">
        <v>100</v>
      </c>
      <c r="K103" s="84">
        <v>0</v>
      </c>
      <c r="L103" s="84">
        <v>0</v>
      </c>
      <c r="M103" s="84">
        <v>0</v>
      </c>
      <c r="N103" s="84">
        <v>0</v>
      </c>
      <c r="O103" s="84">
        <v>0</v>
      </c>
      <c r="P103" s="84">
        <v>0</v>
      </c>
      <c r="Q103" s="84">
        <v>0</v>
      </c>
      <c r="R103" s="84">
        <v>0</v>
      </c>
      <c r="S103" s="84">
        <v>0</v>
      </c>
      <c r="T103" s="84">
        <v>0</v>
      </c>
      <c r="U103" s="84">
        <v>0</v>
      </c>
      <c r="V103" s="84">
        <v>0</v>
      </c>
      <c r="W103" s="84">
        <v>0</v>
      </c>
      <c r="X103" s="84">
        <v>0</v>
      </c>
      <c r="Y103" s="153">
        <v>0</v>
      </c>
      <c r="Z103" s="153">
        <v>0</v>
      </c>
      <c r="AA103" s="153">
        <v>0</v>
      </c>
      <c r="AB103" s="153">
        <v>0</v>
      </c>
      <c r="AC103" s="153">
        <v>0</v>
      </c>
      <c r="AD103" s="153">
        <v>0</v>
      </c>
      <c r="AE103" s="153">
        <v>0</v>
      </c>
      <c r="AF103" s="153">
        <v>100</v>
      </c>
    </row>
    <row r="104" spans="1:32" ht="48.75" customHeight="1" x14ac:dyDescent="0.25">
      <c r="A104" s="84">
        <v>41</v>
      </c>
      <c r="B104" s="85" t="s">
        <v>137</v>
      </c>
      <c r="C104" s="84" t="s">
        <v>53</v>
      </c>
      <c r="D104" s="85" t="s">
        <v>136</v>
      </c>
      <c r="E104" s="84" t="s">
        <v>133</v>
      </c>
      <c r="F104" s="84">
        <v>0</v>
      </c>
      <c r="G104" s="84">
        <v>0</v>
      </c>
      <c r="H104" s="84">
        <v>0</v>
      </c>
      <c r="I104" s="84">
        <v>0</v>
      </c>
      <c r="J104" s="84">
        <v>11</v>
      </c>
      <c r="K104" s="84">
        <v>0</v>
      </c>
      <c r="L104" s="84">
        <v>0</v>
      </c>
      <c r="M104" s="84">
        <v>0</v>
      </c>
      <c r="N104" s="84">
        <v>0</v>
      </c>
      <c r="O104" s="84">
        <v>0</v>
      </c>
      <c r="P104" s="84">
        <v>0</v>
      </c>
      <c r="Q104" s="84">
        <v>0</v>
      </c>
      <c r="R104" s="84">
        <v>0</v>
      </c>
      <c r="S104" s="84">
        <v>0</v>
      </c>
      <c r="T104" s="84">
        <v>0</v>
      </c>
      <c r="U104" s="84">
        <v>0</v>
      </c>
      <c r="V104" s="84">
        <v>0</v>
      </c>
      <c r="W104" s="84">
        <v>0</v>
      </c>
      <c r="X104" s="84">
        <v>0</v>
      </c>
      <c r="Y104" s="153">
        <v>0</v>
      </c>
      <c r="Z104" s="153">
        <v>0</v>
      </c>
      <c r="AA104" s="153">
        <v>0</v>
      </c>
      <c r="AB104" s="153">
        <v>0</v>
      </c>
      <c r="AC104" s="153">
        <v>0</v>
      </c>
      <c r="AD104" s="153">
        <v>0</v>
      </c>
      <c r="AE104" s="153">
        <v>0</v>
      </c>
      <c r="AF104" s="153">
        <v>11</v>
      </c>
    </row>
    <row r="105" spans="1:32" ht="54" customHeight="1" x14ac:dyDescent="0.25">
      <c r="A105" s="84">
        <v>42</v>
      </c>
      <c r="B105" s="85" t="s">
        <v>135</v>
      </c>
      <c r="C105" s="84" t="s">
        <v>53</v>
      </c>
      <c r="D105" s="85" t="s">
        <v>134</v>
      </c>
      <c r="E105" s="84" t="s">
        <v>133</v>
      </c>
      <c r="F105" s="84">
        <v>0</v>
      </c>
      <c r="G105" s="84">
        <v>0</v>
      </c>
      <c r="H105" s="84">
        <v>0</v>
      </c>
      <c r="I105" s="84">
        <v>0</v>
      </c>
      <c r="J105" s="84">
        <v>1</v>
      </c>
      <c r="K105" s="84">
        <v>0</v>
      </c>
      <c r="L105" s="84">
        <v>0</v>
      </c>
      <c r="M105" s="84">
        <v>0</v>
      </c>
      <c r="N105" s="84">
        <v>0</v>
      </c>
      <c r="O105" s="84">
        <v>0</v>
      </c>
      <c r="P105" s="84">
        <v>0</v>
      </c>
      <c r="Q105" s="84">
        <v>0</v>
      </c>
      <c r="R105" s="84">
        <v>0</v>
      </c>
      <c r="S105" s="84">
        <v>0</v>
      </c>
      <c r="T105" s="84">
        <v>0</v>
      </c>
      <c r="U105" s="84">
        <v>0</v>
      </c>
      <c r="V105" s="84">
        <v>0</v>
      </c>
      <c r="W105" s="84">
        <v>0</v>
      </c>
      <c r="X105" s="84">
        <v>0</v>
      </c>
      <c r="Y105" s="153">
        <v>0</v>
      </c>
      <c r="Z105" s="153">
        <v>0</v>
      </c>
      <c r="AA105" s="153">
        <v>0</v>
      </c>
      <c r="AB105" s="153">
        <v>0</v>
      </c>
      <c r="AC105" s="153">
        <v>0</v>
      </c>
      <c r="AD105" s="153">
        <v>0</v>
      </c>
      <c r="AE105" s="153">
        <v>0</v>
      </c>
      <c r="AF105" s="153">
        <v>1</v>
      </c>
    </row>
    <row r="106" spans="1:32" ht="66" customHeight="1" x14ac:dyDescent="0.25">
      <c r="A106" s="84">
        <v>43</v>
      </c>
      <c r="B106" s="85" t="s">
        <v>132</v>
      </c>
      <c r="C106" s="84" t="s">
        <v>53</v>
      </c>
      <c r="D106" s="85" t="s">
        <v>131</v>
      </c>
      <c r="E106" s="84" t="s">
        <v>127</v>
      </c>
      <c r="F106" s="84">
        <v>0</v>
      </c>
      <c r="G106" s="84">
        <v>0</v>
      </c>
      <c r="H106" s="84">
        <v>0</v>
      </c>
      <c r="I106" s="84">
        <v>0</v>
      </c>
      <c r="J106" s="84">
        <v>50</v>
      </c>
      <c r="K106" s="84">
        <v>50</v>
      </c>
      <c r="L106" s="84">
        <v>0</v>
      </c>
      <c r="M106" s="84">
        <v>0</v>
      </c>
      <c r="N106" s="84">
        <v>0</v>
      </c>
      <c r="O106" s="84">
        <v>0</v>
      </c>
      <c r="P106" s="84">
        <v>0</v>
      </c>
      <c r="Q106" s="84">
        <v>0</v>
      </c>
      <c r="R106" s="84">
        <v>0</v>
      </c>
      <c r="S106" s="84">
        <v>0</v>
      </c>
      <c r="T106" s="84">
        <v>0</v>
      </c>
      <c r="U106" s="84">
        <v>0</v>
      </c>
      <c r="V106" s="84">
        <v>0</v>
      </c>
      <c r="W106" s="84">
        <v>0</v>
      </c>
      <c r="X106" s="84">
        <v>0</v>
      </c>
      <c r="Y106" s="153">
        <v>0</v>
      </c>
      <c r="Z106" s="153">
        <v>0</v>
      </c>
      <c r="AA106" s="153">
        <v>0</v>
      </c>
      <c r="AB106" s="153">
        <v>0</v>
      </c>
      <c r="AC106" s="153">
        <v>0</v>
      </c>
      <c r="AD106" s="153">
        <v>0</v>
      </c>
      <c r="AE106" s="153">
        <v>0</v>
      </c>
      <c r="AF106" s="153">
        <v>50</v>
      </c>
    </row>
    <row r="107" spans="1:32" ht="80.25" customHeight="1" x14ac:dyDescent="0.25">
      <c r="A107" s="84">
        <v>44</v>
      </c>
      <c r="B107" s="85" t="s">
        <v>130</v>
      </c>
      <c r="C107" s="84" t="s">
        <v>129</v>
      </c>
      <c r="D107" s="85" t="s">
        <v>128</v>
      </c>
      <c r="E107" s="84" t="s">
        <v>127</v>
      </c>
      <c r="F107" s="84">
        <v>0</v>
      </c>
      <c r="G107" s="84">
        <v>0</v>
      </c>
      <c r="H107" s="84">
        <v>0</v>
      </c>
      <c r="I107" s="84">
        <v>0</v>
      </c>
      <c r="J107" s="84">
        <v>50</v>
      </c>
      <c r="K107" s="84">
        <v>50</v>
      </c>
      <c r="L107" s="84">
        <v>0</v>
      </c>
      <c r="M107" s="84">
        <v>0</v>
      </c>
      <c r="N107" s="84">
        <v>0</v>
      </c>
      <c r="O107" s="84">
        <v>0</v>
      </c>
      <c r="P107" s="84">
        <v>0</v>
      </c>
      <c r="Q107" s="84">
        <v>0</v>
      </c>
      <c r="R107" s="84">
        <v>0</v>
      </c>
      <c r="S107" s="84">
        <v>0</v>
      </c>
      <c r="T107" s="84">
        <v>0</v>
      </c>
      <c r="U107" s="84">
        <v>0</v>
      </c>
      <c r="V107" s="84">
        <v>0</v>
      </c>
      <c r="W107" s="84">
        <v>0</v>
      </c>
      <c r="X107" s="84">
        <v>0</v>
      </c>
      <c r="Y107" s="153">
        <v>0</v>
      </c>
      <c r="Z107" s="153">
        <v>0</v>
      </c>
      <c r="AA107" s="153">
        <v>0</v>
      </c>
      <c r="AB107" s="153">
        <v>0</v>
      </c>
      <c r="AC107" s="153">
        <v>0</v>
      </c>
      <c r="AD107" s="153">
        <v>0</v>
      </c>
      <c r="AE107" s="153">
        <v>0</v>
      </c>
      <c r="AF107" s="153">
        <v>50</v>
      </c>
    </row>
    <row r="108" spans="1:32" s="79" customFormat="1" ht="97.5" hidden="1" customHeight="1" x14ac:dyDescent="0.3">
      <c r="A108" s="83"/>
      <c r="B108" s="82"/>
      <c r="C108" s="81"/>
      <c r="D108" s="80" t="s">
        <v>123</v>
      </c>
      <c r="E108" s="70"/>
      <c r="F108" s="70"/>
      <c r="G108" s="70"/>
      <c r="H108" s="70"/>
      <c r="I108" s="70"/>
      <c r="J108" s="70"/>
      <c r="K108" s="70"/>
      <c r="L108" s="70"/>
      <c r="M108" s="70"/>
      <c r="N108" s="70"/>
      <c r="O108" s="216" t="s">
        <v>126</v>
      </c>
      <c r="P108" s="216"/>
      <c r="Q108" s="216"/>
      <c r="R108" s="216"/>
      <c r="S108" s="216"/>
      <c r="T108" s="216"/>
      <c r="U108" s="216"/>
      <c r="V108" s="216"/>
      <c r="W108" s="216"/>
      <c r="X108" s="216"/>
      <c r="Y108" s="216"/>
      <c r="Z108" s="216"/>
      <c r="AA108" s="216"/>
      <c r="AB108" s="216"/>
      <c r="AC108" s="216"/>
      <c r="AD108" s="216"/>
      <c r="AE108" s="216"/>
      <c r="AF108" s="216"/>
    </row>
    <row r="109" spans="1:32" x14ac:dyDescent="0.25">
      <c r="B109" s="76"/>
      <c r="C109" s="78"/>
    </row>
    <row r="110" spans="1:32" ht="33" customHeight="1" x14ac:dyDescent="0.3">
      <c r="B110" s="76"/>
      <c r="C110" s="77" t="s">
        <v>125</v>
      </c>
      <c r="W110" s="58" t="s">
        <v>124</v>
      </c>
      <c r="AB110" s="217"/>
      <c r="AC110" s="217"/>
      <c r="AD110" s="217"/>
      <c r="AE110" s="217"/>
      <c r="AF110" s="217"/>
    </row>
    <row r="111" spans="1:32" ht="28.5" customHeight="1" x14ac:dyDescent="0.25">
      <c r="B111" s="76"/>
    </row>
    <row r="112" spans="1:32" ht="15" customHeight="1" x14ac:dyDescent="0.25">
      <c r="B112" s="213"/>
    </row>
    <row r="113" spans="2:2" ht="15" customHeight="1" x14ac:dyDescent="0.25">
      <c r="B113" s="213"/>
    </row>
    <row r="114" spans="2:2" s="75" customFormat="1" x14ac:dyDescent="0.25">
      <c r="B114" s="213"/>
    </row>
    <row r="115" spans="2:2" s="75" customFormat="1" ht="6" customHeight="1" x14ac:dyDescent="0.25">
      <c r="B115" s="213"/>
    </row>
  </sheetData>
  <dataConsolidate/>
  <mergeCells count="96">
    <mergeCell ref="K1:AF1"/>
    <mergeCell ref="A2:AF2"/>
    <mergeCell ref="A3:AF3"/>
    <mergeCell ref="A4:AF4"/>
    <mergeCell ref="A5:AF5"/>
    <mergeCell ref="A6:A9"/>
    <mergeCell ref="B6:B9"/>
    <mergeCell ref="C6:C9"/>
    <mergeCell ref="D6:D9"/>
    <mergeCell ref="E6:E9"/>
    <mergeCell ref="F6:F9"/>
    <mergeCell ref="G6:G9"/>
    <mergeCell ref="H6:AE7"/>
    <mergeCell ref="AF6:AF9"/>
    <mergeCell ref="H8:I8"/>
    <mergeCell ref="J8:K8"/>
    <mergeCell ref="L8:M8"/>
    <mergeCell ref="N8:O8"/>
    <mergeCell ref="P8:Q8"/>
    <mergeCell ref="R8:S8"/>
    <mergeCell ref="T8:U8"/>
    <mergeCell ref="V8:W8"/>
    <mergeCell ref="X8:Y8"/>
    <mergeCell ref="Z8:AA8"/>
    <mergeCell ref="AB8:AC8"/>
    <mergeCell ref="AD8:AE8"/>
    <mergeCell ref="B11:AF11"/>
    <mergeCell ref="A20:A25"/>
    <mergeCell ref="B20:B25"/>
    <mergeCell ref="D20:D25"/>
    <mergeCell ref="E21:AF21"/>
    <mergeCell ref="E22:E25"/>
    <mergeCell ref="A30:A31"/>
    <mergeCell ref="B30:B31"/>
    <mergeCell ref="C30:C31"/>
    <mergeCell ref="A34:A35"/>
    <mergeCell ref="B34:B35"/>
    <mergeCell ref="C34:C35"/>
    <mergeCell ref="A38:AF38"/>
    <mergeCell ref="A42:A47"/>
    <mergeCell ref="B42:B47"/>
    <mergeCell ref="D42:D47"/>
    <mergeCell ref="E43:AF43"/>
    <mergeCell ref="E44:E47"/>
    <mergeCell ref="A48:A50"/>
    <mergeCell ref="B48:B50"/>
    <mergeCell ref="C48:C50"/>
    <mergeCell ref="D48:D49"/>
    <mergeCell ref="E48:E49"/>
    <mergeCell ref="F48:F49"/>
    <mergeCell ref="G48:G49"/>
    <mergeCell ref="H48:H49"/>
    <mergeCell ref="I48:I49"/>
    <mergeCell ref="J48:J49"/>
    <mergeCell ref="K48:K49"/>
    <mergeCell ref="L48:L49"/>
    <mergeCell ref="M48:M49"/>
    <mergeCell ref="N48:N49"/>
    <mergeCell ref="O48:O49"/>
    <mergeCell ref="P48:P49"/>
    <mergeCell ref="Q48:Q49"/>
    <mergeCell ref="R48:R49"/>
    <mergeCell ref="S48:S49"/>
    <mergeCell ref="T48:T49"/>
    <mergeCell ref="U48:U49"/>
    <mergeCell ref="V48:V49"/>
    <mergeCell ref="W48:W49"/>
    <mergeCell ref="X48:X49"/>
    <mergeCell ref="Y48:Y49"/>
    <mergeCell ref="AE48:AE49"/>
    <mergeCell ref="AF48:AF49"/>
    <mergeCell ref="A52:A77"/>
    <mergeCell ref="B52:B77"/>
    <mergeCell ref="C52:C53"/>
    <mergeCell ref="D54:D57"/>
    <mergeCell ref="E55:AF55"/>
    <mergeCell ref="E56:E57"/>
    <mergeCell ref="D58:D63"/>
    <mergeCell ref="E59:AF59"/>
    <mergeCell ref="E60:E63"/>
    <mergeCell ref="Z48:Z49"/>
    <mergeCell ref="AA48:AA49"/>
    <mergeCell ref="AB48:AB49"/>
    <mergeCell ref="AC48:AC49"/>
    <mergeCell ref="AD48:AD49"/>
    <mergeCell ref="A88:A96"/>
    <mergeCell ref="B88:B96"/>
    <mergeCell ref="D88:D92"/>
    <mergeCell ref="D93:D96"/>
    <mergeCell ref="A100:AF100"/>
    <mergeCell ref="B112:B115"/>
    <mergeCell ref="A102:A103"/>
    <mergeCell ref="B102:B103"/>
    <mergeCell ref="C102:C103"/>
    <mergeCell ref="O108:AF108"/>
    <mergeCell ref="AB110:AF110"/>
  </mergeCells>
  <printOptions horizontalCentered="1"/>
  <pageMargins left="0.78740157480314965" right="0.78740157480314965" top="1.3779527559055118" bottom="0.39370078740157483" header="0" footer="0"/>
  <pageSetup paperSize="9" scale="32" fitToHeight="6" orientation="landscape" r:id="rId1"/>
  <headerFooter differentFirst="1">
    <oddHeader>&amp;C &amp;P</oddHeader>
  </headerFooter>
  <rowBreaks count="1" manualBreakCount="1">
    <brk id="9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4</vt:i4>
      </vt:variant>
    </vt:vector>
  </HeadingPairs>
  <TitlesOfParts>
    <vt:vector size="6" baseType="lpstr">
      <vt:lpstr>Расходы (96)</vt:lpstr>
      <vt:lpstr>Показатели(96)</vt:lpstr>
      <vt:lpstr>'Показатели(96)'!Заголовки_для_печати</vt:lpstr>
      <vt:lpstr>'Расходы (96)'!Заголовки_для_печати</vt:lpstr>
      <vt:lpstr>'Показатели(96)'!Область_печати</vt:lpstr>
      <vt:lpstr>'Расходы (96)'!Область_печати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opifea@outlook.com</dc:creator>
  <cp:lastModifiedBy>User</cp:lastModifiedBy>
  <cp:lastPrinted>2025-04-29T12:06:44Z</cp:lastPrinted>
  <dcterms:created xsi:type="dcterms:W3CDTF">2025-03-24T18:13:48Z</dcterms:created>
  <dcterms:modified xsi:type="dcterms:W3CDTF">2025-04-30T11:59:18Z</dcterms:modified>
</cp:coreProperties>
</file>