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08" windowWidth="14808" windowHeight="7716"/>
  </bookViews>
  <sheets>
    <sheet name="Расходы" sheetId="3" r:id="rId1"/>
  </sheets>
  <definedNames>
    <definedName name="_xlnm.Print_Titles" localSheetId="0">Расходы!$6:$8</definedName>
    <definedName name="_xlnm.Print_Area" localSheetId="0">Расходы!$A$1:$Z$120</definedName>
  </definedNames>
  <calcPr calcId="124519"/>
</workbook>
</file>

<file path=xl/calcChain.xml><?xml version="1.0" encoding="utf-8"?>
<calcChain xmlns="http://schemas.openxmlformats.org/spreadsheetml/2006/main">
  <c r="L50" i="3"/>
  <c r="L21"/>
  <c r="L52"/>
  <c r="L43"/>
  <c r="L45"/>
  <c r="L42"/>
  <c r="N65"/>
  <c r="M65"/>
  <c r="L65"/>
  <c r="L70"/>
  <c r="L68"/>
  <c r="L66"/>
  <c r="I70"/>
  <c r="L69"/>
  <c r="L67"/>
  <c r="L44"/>
  <c r="L47"/>
  <c r="L54"/>
  <c r="L46"/>
  <c r="L59"/>
  <c r="N59"/>
  <c r="M59"/>
  <c r="L26"/>
  <c r="L16"/>
  <c r="I25"/>
  <c r="P110"/>
  <c r="P112" s="1"/>
  <c r="O110"/>
  <c r="O112" s="1"/>
  <c r="P10"/>
  <c r="Q10"/>
  <c r="Q110" s="1"/>
  <c r="Q112" s="1"/>
  <c r="O10"/>
  <c r="Q26"/>
  <c r="P26"/>
  <c r="O26"/>
  <c r="I26" s="1"/>
  <c r="L25"/>
  <c r="L24"/>
  <c r="L23"/>
  <c r="L22"/>
  <c r="L17"/>
  <c r="N46"/>
  <c r="M46"/>
  <c r="N45"/>
  <c r="M45"/>
  <c r="N44"/>
  <c r="M44"/>
  <c r="N43"/>
  <c r="M43"/>
  <c r="N42"/>
  <c r="M42"/>
  <c r="I69"/>
  <c r="I67"/>
  <c r="I66"/>
  <c r="I65" l="1"/>
  <c r="I68"/>
  <c r="L39"/>
  <c r="K45" l="1"/>
  <c r="K23"/>
  <c r="K54"/>
  <c r="M54" l="1"/>
  <c r="K81" l="1"/>
  <c r="K61"/>
  <c r="K59"/>
  <c r="K51"/>
  <c r="K50"/>
  <c r="N54"/>
  <c r="K47"/>
  <c r="K46"/>
  <c r="K43"/>
  <c r="K44"/>
  <c r="K39"/>
  <c r="K21"/>
  <c r="K16"/>
  <c r="N16" l="1"/>
  <c r="M16"/>
  <c r="N17" l="1"/>
  <c r="M17"/>
  <c r="L40" l="1"/>
  <c r="L77"/>
  <c r="L48"/>
  <c r="L19"/>
  <c r="M79"/>
  <c r="L71" l="1"/>
  <c r="L37"/>
  <c r="I81"/>
  <c r="N76"/>
  <c r="N40"/>
  <c r="I43"/>
  <c r="I64"/>
  <c r="I62"/>
  <c r="N48"/>
  <c r="I52"/>
  <c r="I53"/>
  <c r="N55"/>
  <c r="N72" s="1"/>
  <c r="N86" s="1"/>
  <c r="N15"/>
  <c r="N14" s="1"/>
  <c r="N28"/>
  <c r="N24"/>
  <c r="N23"/>
  <c r="I23" s="1"/>
  <c r="N22"/>
  <c r="N21"/>
  <c r="N37" l="1"/>
  <c r="N71"/>
  <c r="N19"/>
  <c r="N18" s="1"/>
  <c r="N36"/>
  <c r="N12"/>
  <c r="N113" s="1"/>
  <c r="I21"/>
  <c r="N38"/>
  <c r="I61" l="1"/>
  <c r="K24" l="1"/>
  <c r="I24" s="1"/>
  <c r="K80"/>
  <c r="N79" l="1"/>
  <c r="I63"/>
  <c r="I31"/>
  <c r="N74" l="1"/>
  <c r="K42"/>
  <c r="I42" s="1"/>
  <c r="M80"/>
  <c r="K75"/>
  <c r="N80" l="1"/>
  <c r="I80" s="1"/>
  <c r="M77"/>
  <c r="I11"/>
  <c r="N75" l="1"/>
  <c r="N73" s="1"/>
  <c r="N77"/>
  <c r="N27" l="1"/>
  <c r="N35"/>
  <c r="N82"/>
  <c r="I96"/>
  <c r="I97"/>
  <c r="K93"/>
  <c r="K92"/>
  <c r="N10" l="1"/>
  <c r="N112" s="1"/>
  <c r="N110" s="1"/>
  <c r="N83"/>
  <c r="N85"/>
  <c r="K99"/>
  <c r="I99" s="1"/>
  <c r="K98"/>
  <c r="M15" l="1"/>
  <c r="M14" s="1"/>
  <c r="K22"/>
  <c r="I22" l="1"/>
  <c r="K19"/>
  <c r="I45"/>
  <c r="I44"/>
  <c r="K79"/>
  <c r="I79" s="1"/>
  <c r="K40" l="1"/>
  <c r="K18"/>
  <c r="K15"/>
  <c r="K108" l="1"/>
  <c r="K114" s="1"/>
  <c r="I98"/>
  <c r="K91"/>
  <c r="K90"/>
  <c r="I94"/>
  <c r="I95"/>
  <c r="I93"/>
  <c r="I92"/>
  <c r="K58"/>
  <c r="K48" l="1"/>
  <c r="K109"/>
  <c r="I109" s="1"/>
  <c r="K13"/>
  <c r="I13" s="1"/>
  <c r="I114"/>
  <c r="I90"/>
  <c r="K88"/>
  <c r="K106"/>
  <c r="I106" s="1"/>
  <c r="I108"/>
  <c r="K89"/>
  <c r="I91"/>
  <c r="J76"/>
  <c r="J75"/>
  <c r="J74"/>
  <c r="M76"/>
  <c r="L76"/>
  <c r="K76"/>
  <c r="M75"/>
  <c r="L75"/>
  <c r="M74"/>
  <c r="L74"/>
  <c r="L73" s="1"/>
  <c r="L82" s="1"/>
  <c r="K74"/>
  <c r="K71" l="1"/>
  <c r="K37"/>
  <c r="K35" s="1"/>
  <c r="L35"/>
  <c r="I75"/>
  <c r="I74"/>
  <c r="I76"/>
  <c r="K73"/>
  <c r="K29"/>
  <c r="I29" s="1"/>
  <c r="I88"/>
  <c r="K30"/>
  <c r="I30" s="1"/>
  <c r="I89"/>
  <c r="M48"/>
  <c r="K27" l="1"/>
  <c r="M55" l="1"/>
  <c r="L55"/>
  <c r="K55"/>
  <c r="K36" s="1"/>
  <c r="M19"/>
  <c r="M18" s="1"/>
  <c r="K12" l="1"/>
  <c r="K113" s="1"/>
  <c r="K38"/>
  <c r="L18"/>
  <c r="L72"/>
  <c r="L38"/>
  <c r="L12"/>
  <c r="L36"/>
  <c r="L28"/>
  <c r="K72"/>
  <c r="K28"/>
  <c r="M72"/>
  <c r="M36"/>
  <c r="M28"/>
  <c r="M38"/>
  <c r="M12"/>
  <c r="M73"/>
  <c r="M82" s="1"/>
  <c r="M40"/>
  <c r="J40"/>
  <c r="J19"/>
  <c r="I19" s="1"/>
  <c r="J16"/>
  <c r="I16" s="1"/>
  <c r="L15"/>
  <c r="L14" s="1"/>
  <c r="K14"/>
  <c r="K82"/>
  <c r="K85" s="1"/>
  <c r="J73"/>
  <c r="K77"/>
  <c r="J77"/>
  <c r="M71" l="1"/>
  <c r="M37"/>
  <c r="M27" s="1"/>
  <c r="M10" s="1"/>
  <c r="M112" s="1"/>
  <c r="M85"/>
  <c r="L86"/>
  <c r="I72"/>
  <c r="I40"/>
  <c r="I77"/>
  <c r="K10"/>
  <c r="K112" s="1"/>
  <c r="K110" s="1"/>
  <c r="L85"/>
  <c r="L27"/>
  <c r="L10" s="1"/>
  <c r="J82"/>
  <c r="I82" s="1"/>
  <c r="I73"/>
  <c r="K86"/>
  <c r="M83"/>
  <c r="M86"/>
  <c r="K83"/>
  <c r="M113"/>
  <c r="J54"/>
  <c r="I54" s="1"/>
  <c r="M110" l="1"/>
  <c r="L112"/>
  <c r="M35"/>
  <c r="L83"/>
  <c r="L113"/>
  <c r="I113" s="1"/>
  <c r="J59"/>
  <c r="I59" s="1"/>
  <c r="J46"/>
  <c r="I46" s="1"/>
  <c r="J47"/>
  <c r="I47" s="1"/>
  <c r="L110" l="1"/>
  <c r="J50"/>
  <c r="I50" s="1"/>
  <c r="J17"/>
  <c r="I17" s="1"/>
  <c r="J15" l="1"/>
  <c r="I15" s="1"/>
  <c r="J57"/>
  <c r="I57" s="1"/>
  <c r="J58"/>
  <c r="I58" s="1"/>
  <c r="J55" l="1"/>
  <c r="J14"/>
  <c r="I14" s="1"/>
  <c r="J60"/>
  <c r="I60" s="1"/>
  <c r="J36" l="1"/>
  <c r="I36" s="1"/>
  <c r="I55"/>
  <c r="J12"/>
  <c r="I12" s="1"/>
  <c r="J38"/>
  <c r="I38" s="1"/>
  <c r="J28"/>
  <c r="I28" s="1"/>
  <c r="J39"/>
  <c r="I39" s="1"/>
  <c r="J18" l="1"/>
  <c r="I18" s="1"/>
  <c r="J51" l="1"/>
  <c r="I51" s="1"/>
  <c r="J48" l="1"/>
  <c r="J37" l="1"/>
  <c r="I37" s="1"/>
  <c r="I48"/>
  <c r="J71"/>
  <c r="I71" s="1"/>
  <c r="J86"/>
  <c r="I86" s="1"/>
  <c r="J35" l="1"/>
  <c r="I35" s="1"/>
  <c r="J27"/>
  <c r="I27" s="1"/>
  <c r="J83"/>
  <c r="I83" s="1"/>
  <c r="J85"/>
  <c r="I85" s="1"/>
  <c r="J110" l="1"/>
  <c r="I110" s="1"/>
  <c r="J112" l="1"/>
  <c r="I112" s="1"/>
  <c r="J10" l="1"/>
  <c r="I10" s="1"/>
</calcChain>
</file>

<file path=xl/sharedStrings.xml><?xml version="1.0" encoding="utf-8"?>
<sst xmlns="http://schemas.openxmlformats.org/spreadsheetml/2006/main" count="582" uniqueCount="106">
  <si>
    <t>№ п/п</t>
  </si>
  <si>
    <t>КОСГУ</t>
  </si>
  <si>
    <t>Коды классификации</t>
  </si>
  <si>
    <t xml:space="preserve">Распределение расходов на реализацию муниципальной программы </t>
  </si>
  <si>
    <t>целевая статья</t>
  </si>
  <si>
    <t>вид расходов</t>
  </si>
  <si>
    <t>раздел, подраздел</t>
  </si>
  <si>
    <t>всего</t>
  </si>
  <si>
    <t xml:space="preserve">Цели, задачи, наименования программных мероприятий </t>
  </si>
  <si>
    <t>Бюджет МО "Город Астрахань"</t>
  </si>
  <si>
    <t>Итого по муниципальной Программе</t>
  </si>
  <si>
    <t>Ответственные исполнители, соисполнители, участники</t>
  </si>
  <si>
    <t>Источники           финансирования</t>
  </si>
  <si>
    <t>х</t>
  </si>
  <si>
    <t>Муниципальная программа "Повышение уровня благоустройства и улучшение санитарного состояния города Астрахани"</t>
  </si>
  <si>
    <t>Подпрограмма1. "Благоустройство территорий города для обеспечения отдыха и досуга жителей"</t>
  </si>
  <si>
    <t>2016 год</t>
  </si>
  <si>
    <t>2017 год</t>
  </si>
  <si>
    <t xml:space="preserve">       2018 год</t>
  </si>
  <si>
    <t>Администрация Трусовского района</t>
  </si>
  <si>
    <t xml:space="preserve">Администрация Кировского района, </t>
  </si>
  <si>
    <t>Администрация Ленинского района</t>
  </si>
  <si>
    <t>Администрация Советского района</t>
  </si>
  <si>
    <t>Администрация  Кировского района</t>
  </si>
  <si>
    <t>Итого по Подпрограмме</t>
  </si>
  <si>
    <t>Планируемые расходы, руб.</t>
  </si>
  <si>
    <t>в том числе:</t>
  </si>
  <si>
    <t>Управление по коммунальному хозяйству и благоустройству администрации МО "Город Астрахань"</t>
  </si>
  <si>
    <t>Администрации Кировского района, Ленинского района, Трусовского района, Советского района</t>
  </si>
  <si>
    <t xml:space="preserve">Управление по коммунальному хозяйству и благоустройству администрации МО "Город Астрахань" </t>
  </si>
  <si>
    <t>Итого по Задаче 1.2</t>
  </si>
  <si>
    <t>Администрации Кировского района, Ленинского района, Советского района, Трусовского района города Астрахани</t>
  </si>
  <si>
    <t>Итого по Задаче 1.1.</t>
  </si>
  <si>
    <r>
      <rPr>
        <b/>
        <sz val="10"/>
        <color theme="1"/>
        <rFont val="Times New Roman"/>
        <family val="1"/>
        <charset val="204"/>
      </rPr>
      <t xml:space="preserve"> Мероприятие 1. </t>
    </r>
    <r>
      <rPr>
        <sz val="10"/>
        <color theme="1"/>
        <rFont val="Times New Roman"/>
        <family val="1"/>
        <charset val="204"/>
      </rPr>
      <t xml:space="preserve">             Демонтаж самовольно установленных строений</t>
    </r>
  </si>
  <si>
    <t>Бюджет Астраханской области</t>
  </si>
  <si>
    <t>Управление по коммунальному хозяйству и благоустройству администрации МО "Город Астрахань"(МБУ       г. Астрахани "Чистый город")</t>
  </si>
  <si>
    <t>Управление по коммунальному хозяйству администрации МО "Город Астрахань", МБУ  г. Астрахань "Чистый город"</t>
  </si>
  <si>
    <t>Управление по коммунальному хозяйству и благоусвтройству администраци МО "Город Астрахань"</t>
  </si>
  <si>
    <t>МБУ г. Астрахани "Чистый город"</t>
  </si>
  <si>
    <t>Управление по коммунальному хозяйству и благоустройству администрации МО "Город Астрахань" (МБУ г.Астрахани  "Зеленый город")</t>
  </si>
  <si>
    <t>муниципального образования "Город Астрахань" "Повышение уровня благоустройства и улучшение санитарного состояния города Астрахани"</t>
  </si>
  <si>
    <r>
      <t xml:space="preserve">Цель 1. </t>
    </r>
    <r>
      <rPr>
        <sz val="10"/>
        <color theme="1"/>
        <rFont val="Times New Roman"/>
        <family val="1"/>
        <charset val="204"/>
      </rPr>
      <t>Поддержание благоустроенности и санитарного состояния муниципального образования «Город Астрахань»</t>
    </r>
  </si>
  <si>
    <r>
      <rPr>
        <b/>
        <sz val="10"/>
        <color theme="1"/>
        <rFont val="Times New Roman"/>
        <family val="1"/>
        <charset val="204"/>
      </rPr>
      <t>Задача 1.1.</t>
    </r>
    <r>
      <rPr>
        <sz val="10"/>
        <color theme="1"/>
        <rFont val="Times New Roman"/>
        <family val="1"/>
        <charset val="204"/>
      </rPr>
      <t xml:space="preserve"> Содержание, строительство и благоустройство мест захоронений</t>
    </r>
  </si>
  <si>
    <r>
      <rPr>
        <b/>
        <sz val="10"/>
        <color theme="1"/>
        <rFont val="Times New Roman"/>
        <family val="1"/>
        <charset val="204"/>
      </rPr>
      <t xml:space="preserve">Основное мероприятие 1.1.1. </t>
    </r>
    <r>
      <rPr>
        <sz val="10"/>
        <color theme="1"/>
        <rFont val="Times New Roman"/>
        <family val="1"/>
        <charset val="204"/>
      </rPr>
      <t>Организация и обеспечение надлежащей эксплуатации и содержание мест захоронений</t>
    </r>
  </si>
  <si>
    <r>
      <rPr>
        <b/>
        <sz val="10"/>
        <color theme="1"/>
        <rFont val="Times New Roman"/>
        <family val="1"/>
        <charset val="204"/>
      </rPr>
      <t xml:space="preserve">Мероприятие 1. </t>
    </r>
    <r>
      <rPr>
        <sz val="10"/>
        <color theme="1"/>
        <rFont val="Times New Roman"/>
        <family val="1"/>
        <charset val="204"/>
      </rPr>
      <t>Содержание мест захоронения (МБУ г. Астрахани "Чистый город", Управление по коммунальному хозяйству и благоустройству администрации МО "Город Астрахань")</t>
    </r>
  </si>
  <si>
    <r>
      <t xml:space="preserve">Мероприятие 2. </t>
    </r>
    <r>
      <rPr>
        <sz val="10"/>
        <color theme="1"/>
        <rFont val="Times New Roman"/>
        <family val="1"/>
        <charset val="204"/>
      </rPr>
      <t>Строительство кладбища</t>
    </r>
  </si>
  <si>
    <r>
      <t xml:space="preserve">Задача 1.2. </t>
    </r>
    <r>
      <rPr>
        <sz val="10"/>
        <color theme="1"/>
        <rFont val="Times New Roman"/>
        <family val="1"/>
        <charset val="204"/>
      </rPr>
      <t>Благоустройство городских территорий освобожденных от незаканно установленных строений</t>
    </r>
  </si>
  <si>
    <r>
      <t xml:space="preserve">Основное мероприятие 1.2.1. </t>
    </r>
    <r>
      <rPr>
        <sz val="10"/>
        <color theme="1"/>
        <rFont val="Times New Roman"/>
        <family val="1"/>
        <charset val="204"/>
      </rPr>
      <t>Освобождение земельных участков от незаконно установленных строений</t>
    </r>
  </si>
  <si>
    <r>
      <t xml:space="preserve">Цель 1.1.  </t>
    </r>
    <r>
      <rPr>
        <sz val="10"/>
        <color theme="1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</si>
  <si>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t>Задача 1.1.</t>
    </r>
    <r>
      <rPr>
        <sz val="10"/>
        <color theme="1"/>
        <rFont val="Times New Roman"/>
        <family val="1"/>
        <charset val="204"/>
      </rPr>
      <t xml:space="preserve">  Повышение уровня благоустроенности рекреационных зон в границах МО "Город Астрахань</t>
    </r>
    <r>
      <rPr>
        <b/>
        <sz val="10"/>
        <color theme="1"/>
        <rFont val="Times New Roman"/>
        <family val="1"/>
        <charset val="204"/>
      </rPr>
      <t>"</t>
    </r>
  </si>
  <si>
    <r>
      <rPr>
        <b/>
        <sz val="10"/>
        <color theme="1"/>
        <rFont val="Times New Roman"/>
        <family val="1"/>
        <charset val="204"/>
      </rPr>
      <t xml:space="preserve">Мероприятие 1.1.1. </t>
    </r>
    <r>
      <rPr>
        <sz val="10"/>
        <color theme="1"/>
        <rFont val="Times New Roman"/>
        <family val="1"/>
        <charset val="204"/>
      </rPr>
      <t>Паспортизация объектов внешнего благоустройства</t>
    </r>
  </si>
  <si>
    <r>
      <rPr>
        <b/>
        <sz val="10"/>
        <color theme="1"/>
        <rFont val="Times New Roman"/>
        <family val="1"/>
        <charset val="204"/>
      </rPr>
      <t xml:space="preserve">Мероприятие 1.1.2. </t>
    </r>
    <r>
      <rPr>
        <sz val="10"/>
        <color theme="1"/>
        <rFont val="Times New Roman"/>
        <family val="1"/>
        <charset val="204"/>
      </rPr>
      <t>Содержание зеленых насаждений и скос сорной растительности</t>
    </r>
  </si>
  <si>
    <r>
      <rPr>
        <b/>
        <sz val="10"/>
        <color theme="1"/>
        <rFont val="Times New Roman"/>
        <family val="1"/>
        <charset val="204"/>
      </rPr>
      <t xml:space="preserve">Мероприятие 1.1.4. </t>
    </r>
    <r>
      <rPr>
        <sz val="10"/>
        <color theme="1"/>
        <rFont val="Times New Roman"/>
        <family val="1"/>
        <charset val="204"/>
      </rPr>
      <t>Освещение города Астрахани</t>
    </r>
  </si>
  <si>
    <r>
      <rPr>
        <b/>
        <sz val="10"/>
        <color theme="1"/>
        <rFont val="Times New Roman"/>
        <family val="1"/>
        <charset val="204"/>
      </rPr>
      <t xml:space="preserve">Мероприятие 1.1.5. </t>
    </r>
    <r>
      <rPr>
        <sz val="10"/>
        <color theme="1"/>
        <rFont val="Times New Roman"/>
        <family val="1"/>
        <charset val="204"/>
      </rPr>
      <t xml:space="preserve">Текущие расходы по благоустройству </t>
    </r>
  </si>
  <si>
    <r>
      <rPr>
        <b/>
        <sz val="10"/>
        <color theme="1"/>
        <rFont val="Times New Roman"/>
        <family val="1"/>
        <charset val="204"/>
      </rPr>
      <t xml:space="preserve">Мероприятие 1.1.6. </t>
    </r>
    <r>
      <rPr>
        <sz val="10"/>
        <color theme="1"/>
        <rFont val="Times New Roman"/>
        <family val="1"/>
        <charset val="204"/>
      </rPr>
      <t>Обеспечение санитарно-эпидемиологического благополучие населения</t>
    </r>
  </si>
  <si>
    <r>
      <rPr>
        <b/>
        <sz val="10"/>
        <color theme="1"/>
        <rFont val="Times New Roman"/>
        <family val="1"/>
        <charset val="204"/>
      </rPr>
      <t xml:space="preserve">Мероприятие 1.1.7. </t>
    </r>
    <r>
      <rPr>
        <sz val="10"/>
        <color theme="1"/>
        <rFont val="Times New Roman"/>
        <family val="1"/>
        <charset val="204"/>
      </rPr>
      <t>Уборка улиц города</t>
    </r>
  </si>
  <si>
    <r>
      <t xml:space="preserve">Мероприятие 1.1.8. </t>
    </r>
    <r>
      <rPr>
        <sz val="10"/>
        <color theme="1"/>
        <rFont val="Times New Roman"/>
        <family val="1"/>
        <charset val="204"/>
      </rPr>
      <t>Создание условий для массового летнего отдыха населения города Астрахани</t>
    </r>
  </si>
  <si>
    <r>
      <t xml:space="preserve">Задача 1.2. </t>
    </r>
    <r>
      <rPr>
        <sz val="10"/>
        <color theme="1"/>
        <rFont val="Times New Roman"/>
        <family val="1"/>
        <charset val="204"/>
      </rPr>
      <t xml:space="preserve">Организация праздничного пространства на территории МО "Город Астрахань" </t>
    </r>
  </si>
  <si>
    <r>
      <t xml:space="preserve">Мероприятие 1.2.1. </t>
    </r>
    <r>
      <rPr>
        <sz val="10"/>
        <color theme="1"/>
        <rFont val="Times New Roman"/>
        <family val="1"/>
        <charset val="204"/>
      </rPr>
      <t>Организация и содержание новогодней ели и праздничной иллюминации</t>
    </r>
  </si>
  <si>
    <r>
      <t xml:space="preserve">Мероприятие 1.1.3 </t>
    </r>
    <r>
      <rPr>
        <sz val="10"/>
        <color theme="1"/>
        <rFont val="Times New Roman"/>
        <family val="1"/>
        <charset val="204"/>
      </rPr>
      <t>Комплексное содержание  парков, скверов, набережных ( МБУ г. Астрахани "Зеленый город")</t>
    </r>
  </si>
  <si>
    <t>Администрации Ленинского района,Трусовского района,Кировского района</t>
  </si>
  <si>
    <t xml:space="preserve">Администрация Кировского района </t>
  </si>
  <si>
    <t>2019 год</t>
  </si>
  <si>
    <t>Управление по коммунальному хозяйству и благоусвтройству администраци МО "Город Астрахань", МБУ г.Астрахань "Чистый  Город"</t>
  </si>
  <si>
    <t>Подпрограмма 2 "Формирование современной городской среды"</t>
  </si>
  <si>
    <t>Федеральный бюджет</t>
  </si>
  <si>
    <r>
      <t xml:space="preserve">Цель 2.1. </t>
    </r>
    <r>
      <rPr>
        <sz val="10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</si>
  <si>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r>
      <t xml:space="preserve">Задача 2.1. </t>
    </r>
    <r>
      <rPr>
        <sz val="10"/>
        <color theme="1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</si>
  <si>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2.1.1. </t>
    </r>
    <r>
      <rPr>
        <sz val="10"/>
        <color theme="1"/>
        <rFont val="Times New Roman"/>
        <family val="1"/>
        <charset val="204"/>
      </rPr>
      <t>Благоустройство дворовых территорий многоквартирных домов</t>
    </r>
  </si>
  <si>
    <r>
      <t xml:space="preserve">Мероприятие 2.1.2. </t>
    </r>
    <r>
      <rPr>
        <sz val="10"/>
        <color theme="1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</si>
  <si>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t>Итого по Задаче 2.1.</t>
  </si>
  <si>
    <r>
      <t xml:space="preserve">Задача 2.2. </t>
    </r>
    <r>
      <rPr>
        <sz val="10"/>
        <color theme="1"/>
        <rFont val="Times New Roman"/>
        <family val="1"/>
        <charset val="204"/>
      </rPr>
      <t>создание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</si>
  <si>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Мероприятие 2.2.1. </t>
    </r>
    <r>
      <rPr>
        <sz val="10"/>
        <color theme="1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</si>
  <si>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>Итого по Задаче 2.2</t>
  </si>
  <si>
    <r>
      <t xml:space="preserve">Мероприятие 2.1.3. </t>
    </r>
    <r>
      <rPr>
        <sz val="10"/>
        <color theme="1"/>
        <rFont val="Times New Roman"/>
        <family val="1"/>
        <charset val="204"/>
      </rPr>
      <t>Разработка проектно-сметной документации по благоустройству дворовых территорий</t>
    </r>
  </si>
  <si>
    <r>
      <t xml:space="preserve">Мероприятие 1.1.9.  </t>
    </r>
    <r>
      <rPr>
        <sz val="10"/>
        <rFont val="Times New Roman"/>
        <family val="1"/>
        <charset val="204"/>
      </rPr>
      <t>Благоустройство придомовых территорий</t>
    </r>
  </si>
  <si>
    <r>
      <t xml:space="preserve">Мероприятие 1.1.11. </t>
    </r>
    <r>
      <rPr>
        <sz val="10"/>
        <rFont val="Times New Roman"/>
        <family val="1"/>
        <charset val="204"/>
      </rPr>
      <t>Изготовление и установка аншлагов топонимических объектов</t>
    </r>
  </si>
  <si>
    <t>Администрация муниципального образования "Город Астрахань" (Управление экономики и предпринимательства)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</si>
  <si>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города Астрахани, Администрация муниципального образования "Город Астрахань" (Управлениеэ кономики и предпринимательства)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</si>
  <si>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                                                                                                                                                                                   Трусовского района, Советского района города Астрахани, Администрация муниципального образования "Город Астрахань" (Управление экономики и предпринимательства)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</si>
  <si>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города Астрахани, Администрация муниципального образования "Город Астрахань" (Управление экономики и предпринимательства)</t>
  </si>
  <si>
    <t>Управление по коммунальному хозяйству и благоустройству администрации МО "Город Астрахань", Администрация муниципального образования "Город Астрахань" Администрации Кировского района, Ленинского района, Советского района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</si>
  <si>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горда Астрахани, Администрация муниципального образования "Город Астрахань" (Управление экономики и предпринимательства)</t>
  </si>
  <si>
    <t>Управление по коммунальному хозяйству и благоустройству администрации муниципального образования "Город Астрахань"</t>
  </si>
  <si>
    <t>Администрация Кировского района</t>
  </si>
  <si>
    <r>
      <t xml:space="preserve">Мероприятие 1.1.11. </t>
    </r>
    <r>
      <rPr>
        <sz val="10"/>
        <rFont val="Times New Roman"/>
        <family val="1"/>
        <charset val="204"/>
      </rPr>
      <t>Разработка рабочей документации по благоустройству муниципальных территорий общего пользования (парки, скверы, набережные и т.д.)</t>
    </r>
  </si>
  <si>
    <t>2020 год</t>
  </si>
  <si>
    <t>Управление по капитальному хозяйству и благоустройству администрации муниципального образования "Города Астрахани"</t>
  </si>
  <si>
    <r>
      <t xml:space="preserve">Задача 1.4. </t>
    </r>
    <r>
      <rPr>
        <sz val="10"/>
        <color theme="1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</si>
  <si>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t xml:space="preserve">Задача 1.5. </t>
    </r>
    <r>
      <rPr>
        <sz val="10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</si>
  <si>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t>Администрации районов,из них:</t>
  </si>
  <si>
    <t>Администрация Кировского района города</t>
  </si>
  <si>
    <t>Администрация Ленинского района города</t>
  </si>
  <si>
    <t>Администрация Советского района города</t>
  </si>
  <si>
    <t>Администрация Трусовского района города</t>
  </si>
  <si>
    <r>
      <t>Мероприятие 1.1.12 Р</t>
    </r>
    <r>
      <rPr>
        <sz val="10"/>
        <rFont val="Times New Roman"/>
        <family val="1"/>
        <charset val="204"/>
      </rPr>
      <t>азвитие территориальных округов</t>
    </r>
  </si>
  <si>
    <t>Администрации Ленинского района, Кировского района, Трусовского района</t>
  </si>
  <si>
    <r>
      <t xml:space="preserve">Мероприятие 1.1.10.      </t>
    </r>
    <r>
      <rPr>
        <sz val="10"/>
        <rFont val="Times New Roman"/>
        <family val="1"/>
        <charset val="204"/>
      </rPr>
      <t>Проведение городского конкурса на лучшее благоустройство и озеленение территорий, прилегающих к многоквартирным домам, предприятиям общественного питания и торговли»</t>
    </r>
  </si>
  <si>
    <t xml:space="preserve">Приложение 3 к постановлению администрации муниципаьного образования "Город Астрахань" от________№___________                                                                               Приложение 3 к муниципальной программе муниципального образования "Город Астрахань" "Повышение уровня благоустройства и улучшение санитарного состояния города Астрахани  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</si>
  <si>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1.3.1. </t>
    </r>
    <r>
      <rPr>
        <sz val="10"/>
        <color theme="1"/>
        <rFont val="Times New Roman"/>
        <family val="1"/>
        <charset val="204"/>
      </rPr>
      <t>Приобретение техники в лизинг</t>
    </r>
  </si>
  <si>
    <r>
      <rPr>
        <b/>
        <sz val="10"/>
        <color theme="1"/>
        <rFont val="Times New Roman"/>
        <family val="1"/>
        <charset val="204"/>
      </rPr>
      <t>Мероприятие 1</t>
    </r>
    <r>
      <rPr>
        <sz val="10"/>
        <color theme="1"/>
        <rFont val="Times New Roman"/>
        <family val="1"/>
        <charset val="204"/>
      </rPr>
      <t xml:space="preserve">. Закупка специализированной техники для муниципальныхучреждений дорожного и коммунального хозяйства </t>
    </r>
  </si>
  <si>
    <t>2021 год</t>
  </si>
  <si>
    <t>2022 год</t>
  </si>
  <si>
    <t>2023 год</t>
  </si>
  <si>
    <t>Управление по коммунальному хозяйству и благоустройству администрации МО "Город Астрахань"(МБУ       г. Астрахани "Зеленый город")</t>
  </si>
  <si>
    <t>ж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</si>
</sst>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0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/>
    <xf numFmtId="0" fontId="6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1" xfId="2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4" fontId="7" fillId="0" borderId="6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/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2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2" fontId="8" fillId="0" borderId="12" xfId="0" applyNumberFormat="1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2" fontId="8" fillId="0" borderId="13" xfId="0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8" fillId="0" borderId="14" xfId="0" applyNumberFormat="1" applyFont="1" applyFill="1" applyBorder="1" applyAlignment="1">
      <alignment vertical="center" wrapText="1"/>
    </xf>
    <xf numFmtId="2" fontId="8" fillId="0" borderId="5" xfId="0" applyNumberFormat="1" applyFont="1" applyFill="1" applyBorder="1" applyAlignment="1">
      <alignment vertical="center" wrapText="1"/>
    </xf>
    <xf numFmtId="2" fontId="8" fillId="0" borderId="15" xfId="0" applyNumberFormat="1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0"/>
  <sheetViews>
    <sheetView tabSelected="1" view="pageBreakPreview" topLeftCell="A3" zoomScale="55" zoomScaleSheetLayoutView="55" workbookViewId="0">
      <pane ySplit="6" topLeftCell="A52" activePane="bottomLeft" state="frozen"/>
      <selection activeCell="B3" sqref="B3"/>
      <selection pane="bottomLeft" activeCell="B48" sqref="B48:B54"/>
    </sheetView>
  </sheetViews>
  <sheetFormatPr defaultColWidth="11.5546875" defaultRowHeight="14.4"/>
  <cols>
    <col min="1" max="1" width="5.5546875" customWidth="1"/>
    <col min="2" max="2" width="31.44140625" customWidth="1"/>
    <col min="3" max="3" width="26.88671875" customWidth="1"/>
    <col min="4" max="4" width="18.33203125" customWidth="1"/>
    <col min="5" max="5" width="6.88671875" customWidth="1"/>
    <col min="6" max="6" width="13.33203125" customWidth="1"/>
    <col min="7" max="7" width="6.33203125" customWidth="1"/>
    <col min="8" max="8" width="7.44140625" customWidth="1"/>
    <col min="9" max="9" width="20" customWidth="1"/>
    <col min="10" max="10" width="18" customWidth="1"/>
    <col min="11" max="11" width="20" style="18" customWidth="1"/>
    <col min="12" max="12" width="16.44140625" customWidth="1"/>
    <col min="13" max="13" width="16.5546875" customWidth="1"/>
    <col min="14" max="14" width="15.5546875" customWidth="1"/>
    <col min="15" max="15" width="14.77734375" customWidth="1"/>
    <col min="16" max="16" width="14" customWidth="1"/>
    <col min="17" max="17" width="14.44140625" customWidth="1"/>
    <col min="248" max="248" width="4.5546875" customWidth="1"/>
    <col min="249" max="249" width="29.109375" customWidth="1"/>
    <col min="250" max="250" width="14.109375" customWidth="1"/>
    <col min="252" max="252" width="10" customWidth="1"/>
    <col min="253" max="253" width="19.88671875" customWidth="1"/>
    <col min="254" max="254" width="12.33203125" customWidth="1"/>
    <col min="255" max="255" width="10" customWidth="1"/>
    <col min="256" max="256" width="10.109375" customWidth="1"/>
    <col min="257" max="257" width="10.33203125" customWidth="1"/>
    <col min="258" max="258" width="10.44140625" customWidth="1"/>
    <col min="259" max="260" width="10.88671875" customWidth="1"/>
    <col min="261" max="261" width="9.6640625" customWidth="1"/>
    <col min="262" max="262" width="12.88671875" customWidth="1"/>
    <col min="504" max="504" width="4.5546875" customWidth="1"/>
    <col min="505" max="505" width="29.109375" customWidth="1"/>
    <col min="506" max="506" width="14.109375" customWidth="1"/>
    <col min="508" max="508" width="10" customWidth="1"/>
    <col min="509" max="509" width="19.88671875" customWidth="1"/>
    <col min="510" max="510" width="12.33203125" customWidth="1"/>
    <col min="511" max="511" width="10" customWidth="1"/>
    <col min="512" max="512" width="10.109375" customWidth="1"/>
    <col min="513" max="513" width="10.33203125" customWidth="1"/>
    <col min="514" max="514" width="10.44140625" customWidth="1"/>
    <col min="515" max="516" width="10.88671875" customWidth="1"/>
    <col min="517" max="517" width="9.6640625" customWidth="1"/>
    <col min="518" max="518" width="12.88671875" customWidth="1"/>
    <col min="760" max="760" width="4.5546875" customWidth="1"/>
    <col min="761" max="761" width="29.109375" customWidth="1"/>
    <col min="762" max="762" width="14.109375" customWidth="1"/>
    <col min="764" max="764" width="10" customWidth="1"/>
    <col min="765" max="765" width="19.88671875" customWidth="1"/>
    <col min="766" max="766" width="12.33203125" customWidth="1"/>
    <col min="767" max="767" width="10" customWidth="1"/>
    <col min="768" max="768" width="10.109375" customWidth="1"/>
    <col min="769" max="769" width="10.33203125" customWidth="1"/>
    <col min="770" max="770" width="10.44140625" customWidth="1"/>
    <col min="771" max="772" width="10.88671875" customWidth="1"/>
    <col min="773" max="773" width="9.6640625" customWidth="1"/>
    <col min="774" max="774" width="12.88671875" customWidth="1"/>
    <col min="1016" max="1016" width="4.5546875" customWidth="1"/>
    <col min="1017" max="1017" width="29.109375" customWidth="1"/>
    <col min="1018" max="1018" width="14.109375" customWidth="1"/>
    <col min="1020" max="1020" width="10" customWidth="1"/>
    <col min="1021" max="1021" width="19.88671875" customWidth="1"/>
    <col min="1022" max="1022" width="12.33203125" customWidth="1"/>
    <col min="1023" max="1023" width="10" customWidth="1"/>
    <col min="1024" max="1024" width="10.109375" customWidth="1"/>
    <col min="1025" max="1025" width="10.33203125" customWidth="1"/>
    <col min="1026" max="1026" width="10.44140625" customWidth="1"/>
    <col min="1027" max="1028" width="10.88671875" customWidth="1"/>
    <col min="1029" max="1029" width="9.6640625" customWidth="1"/>
    <col min="1030" max="1030" width="12.88671875" customWidth="1"/>
    <col min="1272" max="1272" width="4.5546875" customWidth="1"/>
    <col min="1273" max="1273" width="29.109375" customWidth="1"/>
    <col min="1274" max="1274" width="14.109375" customWidth="1"/>
    <col min="1276" max="1276" width="10" customWidth="1"/>
    <col min="1277" max="1277" width="19.88671875" customWidth="1"/>
    <col min="1278" max="1278" width="12.33203125" customWidth="1"/>
    <col min="1279" max="1279" width="10" customWidth="1"/>
    <col min="1280" max="1280" width="10.109375" customWidth="1"/>
    <col min="1281" max="1281" width="10.33203125" customWidth="1"/>
    <col min="1282" max="1282" width="10.44140625" customWidth="1"/>
    <col min="1283" max="1284" width="10.88671875" customWidth="1"/>
    <col min="1285" max="1285" width="9.6640625" customWidth="1"/>
    <col min="1286" max="1286" width="12.88671875" customWidth="1"/>
    <col min="1528" max="1528" width="4.5546875" customWidth="1"/>
    <col min="1529" max="1529" width="29.109375" customWidth="1"/>
    <col min="1530" max="1530" width="14.109375" customWidth="1"/>
    <col min="1532" max="1532" width="10" customWidth="1"/>
    <col min="1533" max="1533" width="19.88671875" customWidth="1"/>
    <col min="1534" max="1534" width="12.33203125" customWidth="1"/>
    <col min="1535" max="1535" width="10" customWidth="1"/>
    <col min="1536" max="1536" width="10.109375" customWidth="1"/>
    <col min="1537" max="1537" width="10.33203125" customWidth="1"/>
    <col min="1538" max="1538" width="10.44140625" customWidth="1"/>
    <col min="1539" max="1540" width="10.88671875" customWidth="1"/>
    <col min="1541" max="1541" width="9.6640625" customWidth="1"/>
    <col min="1542" max="1542" width="12.88671875" customWidth="1"/>
    <col min="1784" max="1784" width="4.5546875" customWidth="1"/>
    <col min="1785" max="1785" width="29.109375" customWidth="1"/>
    <col min="1786" max="1786" width="14.109375" customWidth="1"/>
    <col min="1788" max="1788" width="10" customWidth="1"/>
    <col min="1789" max="1789" width="19.88671875" customWidth="1"/>
    <col min="1790" max="1790" width="12.33203125" customWidth="1"/>
    <col min="1791" max="1791" width="10" customWidth="1"/>
    <col min="1792" max="1792" width="10.109375" customWidth="1"/>
    <col min="1793" max="1793" width="10.33203125" customWidth="1"/>
    <col min="1794" max="1794" width="10.44140625" customWidth="1"/>
    <col min="1795" max="1796" width="10.88671875" customWidth="1"/>
    <col min="1797" max="1797" width="9.6640625" customWidth="1"/>
    <col min="1798" max="1798" width="12.88671875" customWidth="1"/>
    <col min="2040" max="2040" width="4.5546875" customWidth="1"/>
    <col min="2041" max="2041" width="29.109375" customWidth="1"/>
    <col min="2042" max="2042" width="14.109375" customWidth="1"/>
    <col min="2044" max="2044" width="10" customWidth="1"/>
    <col min="2045" max="2045" width="19.88671875" customWidth="1"/>
    <col min="2046" max="2046" width="12.33203125" customWidth="1"/>
    <col min="2047" max="2047" width="10" customWidth="1"/>
    <col min="2048" max="2048" width="10.109375" customWidth="1"/>
    <col min="2049" max="2049" width="10.33203125" customWidth="1"/>
    <col min="2050" max="2050" width="10.44140625" customWidth="1"/>
    <col min="2051" max="2052" width="10.88671875" customWidth="1"/>
    <col min="2053" max="2053" width="9.6640625" customWidth="1"/>
    <col min="2054" max="2054" width="12.88671875" customWidth="1"/>
    <col min="2296" max="2296" width="4.5546875" customWidth="1"/>
    <col min="2297" max="2297" width="29.109375" customWidth="1"/>
    <col min="2298" max="2298" width="14.109375" customWidth="1"/>
    <col min="2300" max="2300" width="10" customWidth="1"/>
    <col min="2301" max="2301" width="19.88671875" customWidth="1"/>
    <col min="2302" max="2302" width="12.33203125" customWidth="1"/>
    <col min="2303" max="2303" width="10" customWidth="1"/>
    <col min="2304" max="2304" width="10.109375" customWidth="1"/>
    <col min="2305" max="2305" width="10.33203125" customWidth="1"/>
    <col min="2306" max="2306" width="10.44140625" customWidth="1"/>
    <col min="2307" max="2308" width="10.88671875" customWidth="1"/>
    <col min="2309" max="2309" width="9.6640625" customWidth="1"/>
    <col min="2310" max="2310" width="12.88671875" customWidth="1"/>
    <col min="2552" max="2552" width="4.5546875" customWidth="1"/>
    <col min="2553" max="2553" width="29.109375" customWidth="1"/>
    <col min="2554" max="2554" width="14.109375" customWidth="1"/>
    <col min="2556" max="2556" width="10" customWidth="1"/>
    <col min="2557" max="2557" width="19.88671875" customWidth="1"/>
    <col min="2558" max="2558" width="12.33203125" customWidth="1"/>
    <col min="2559" max="2559" width="10" customWidth="1"/>
    <col min="2560" max="2560" width="10.109375" customWidth="1"/>
    <col min="2561" max="2561" width="10.33203125" customWidth="1"/>
    <col min="2562" max="2562" width="10.44140625" customWidth="1"/>
    <col min="2563" max="2564" width="10.88671875" customWidth="1"/>
    <col min="2565" max="2565" width="9.6640625" customWidth="1"/>
    <col min="2566" max="2566" width="12.88671875" customWidth="1"/>
    <col min="2808" max="2808" width="4.5546875" customWidth="1"/>
    <col min="2809" max="2809" width="29.109375" customWidth="1"/>
    <col min="2810" max="2810" width="14.109375" customWidth="1"/>
    <col min="2812" max="2812" width="10" customWidth="1"/>
    <col min="2813" max="2813" width="19.88671875" customWidth="1"/>
    <col min="2814" max="2814" width="12.33203125" customWidth="1"/>
    <col min="2815" max="2815" width="10" customWidth="1"/>
    <col min="2816" max="2816" width="10.109375" customWidth="1"/>
    <col min="2817" max="2817" width="10.33203125" customWidth="1"/>
    <col min="2818" max="2818" width="10.44140625" customWidth="1"/>
    <col min="2819" max="2820" width="10.88671875" customWidth="1"/>
    <col min="2821" max="2821" width="9.6640625" customWidth="1"/>
    <col min="2822" max="2822" width="12.88671875" customWidth="1"/>
    <col min="3064" max="3064" width="4.5546875" customWidth="1"/>
    <col min="3065" max="3065" width="29.109375" customWidth="1"/>
    <col min="3066" max="3066" width="14.109375" customWidth="1"/>
    <col min="3068" max="3068" width="10" customWidth="1"/>
    <col min="3069" max="3069" width="19.88671875" customWidth="1"/>
    <col min="3070" max="3070" width="12.33203125" customWidth="1"/>
    <col min="3071" max="3071" width="10" customWidth="1"/>
    <col min="3072" max="3072" width="10.109375" customWidth="1"/>
    <col min="3073" max="3073" width="10.33203125" customWidth="1"/>
    <col min="3074" max="3074" width="10.44140625" customWidth="1"/>
    <col min="3075" max="3076" width="10.88671875" customWidth="1"/>
    <col min="3077" max="3077" width="9.6640625" customWidth="1"/>
    <col min="3078" max="3078" width="12.88671875" customWidth="1"/>
    <col min="3320" max="3320" width="4.5546875" customWidth="1"/>
    <col min="3321" max="3321" width="29.109375" customWidth="1"/>
    <col min="3322" max="3322" width="14.109375" customWidth="1"/>
    <col min="3324" max="3324" width="10" customWidth="1"/>
    <col min="3325" max="3325" width="19.88671875" customWidth="1"/>
    <col min="3326" max="3326" width="12.33203125" customWidth="1"/>
    <col min="3327" max="3327" width="10" customWidth="1"/>
    <col min="3328" max="3328" width="10.109375" customWidth="1"/>
    <col min="3329" max="3329" width="10.33203125" customWidth="1"/>
    <col min="3330" max="3330" width="10.44140625" customWidth="1"/>
    <col min="3331" max="3332" width="10.88671875" customWidth="1"/>
    <col min="3333" max="3333" width="9.6640625" customWidth="1"/>
    <col min="3334" max="3334" width="12.88671875" customWidth="1"/>
    <col min="3576" max="3576" width="4.5546875" customWidth="1"/>
    <col min="3577" max="3577" width="29.109375" customWidth="1"/>
    <col min="3578" max="3578" width="14.109375" customWidth="1"/>
    <col min="3580" max="3580" width="10" customWidth="1"/>
    <col min="3581" max="3581" width="19.88671875" customWidth="1"/>
    <col min="3582" max="3582" width="12.33203125" customWidth="1"/>
    <col min="3583" max="3583" width="10" customWidth="1"/>
    <col min="3584" max="3584" width="10.109375" customWidth="1"/>
    <col min="3585" max="3585" width="10.33203125" customWidth="1"/>
    <col min="3586" max="3586" width="10.44140625" customWidth="1"/>
    <col min="3587" max="3588" width="10.88671875" customWidth="1"/>
    <col min="3589" max="3589" width="9.6640625" customWidth="1"/>
    <col min="3590" max="3590" width="12.88671875" customWidth="1"/>
    <col min="3832" max="3832" width="4.5546875" customWidth="1"/>
    <col min="3833" max="3833" width="29.109375" customWidth="1"/>
    <col min="3834" max="3834" width="14.109375" customWidth="1"/>
    <col min="3836" max="3836" width="10" customWidth="1"/>
    <col min="3837" max="3837" width="19.88671875" customWidth="1"/>
    <col min="3838" max="3838" width="12.33203125" customWidth="1"/>
    <col min="3839" max="3839" width="10" customWidth="1"/>
    <col min="3840" max="3840" width="10.109375" customWidth="1"/>
    <col min="3841" max="3841" width="10.33203125" customWidth="1"/>
    <col min="3842" max="3842" width="10.44140625" customWidth="1"/>
    <col min="3843" max="3844" width="10.88671875" customWidth="1"/>
    <col min="3845" max="3845" width="9.6640625" customWidth="1"/>
    <col min="3846" max="3846" width="12.88671875" customWidth="1"/>
    <col min="4088" max="4088" width="4.5546875" customWidth="1"/>
    <col min="4089" max="4089" width="29.109375" customWidth="1"/>
    <col min="4090" max="4090" width="14.109375" customWidth="1"/>
    <col min="4092" max="4092" width="10" customWidth="1"/>
    <col min="4093" max="4093" width="19.88671875" customWidth="1"/>
    <col min="4094" max="4094" width="12.33203125" customWidth="1"/>
    <col min="4095" max="4095" width="10" customWidth="1"/>
    <col min="4096" max="4096" width="10.109375" customWidth="1"/>
    <col min="4097" max="4097" width="10.33203125" customWidth="1"/>
    <col min="4098" max="4098" width="10.44140625" customWidth="1"/>
    <col min="4099" max="4100" width="10.88671875" customWidth="1"/>
    <col min="4101" max="4101" width="9.6640625" customWidth="1"/>
    <col min="4102" max="4102" width="12.88671875" customWidth="1"/>
    <col min="4344" max="4344" width="4.5546875" customWidth="1"/>
    <col min="4345" max="4345" width="29.109375" customWidth="1"/>
    <col min="4346" max="4346" width="14.109375" customWidth="1"/>
    <col min="4348" max="4348" width="10" customWidth="1"/>
    <col min="4349" max="4349" width="19.88671875" customWidth="1"/>
    <col min="4350" max="4350" width="12.33203125" customWidth="1"/>
    <col min="4351" max="4351" width="10" customWidth="1"/>
    <col min="4352" max="4352" width="10.109375" customWidth="1"/>
    <col min="4353" max="4353" width="10.33203125" customWidth="1"/>
    <col min="4354" max="4354" width="10.44140625" customWidth="1"/>
    <col min="4355" max="4356" width="10.88671875" customWidth="1"/>
    <col min="4357" max="4357" width="9.6640625" customWidth="1"/>
    <col min="4358" max="4358" width="12.88671875" customWidth="1"/>
    <col min="4600" max="4600" width="4.5546875" customWidth="1"/>
    <col min="4601" max="4601" width="29.109375" customWidth="1"/>
    <col min="4602" max="4602" width="14.109375" customWidth="1"/>
    <col min="4604" max="4604" width="10" customWidth="1"/>
    <col min="4605" max="4605" width="19.88671875" customWidth="1"/>
    <col min="4606" max="4606" width="12.33203125" customWidth="1"/>
    <col min="4607" max="4607" width="10" customWidth="1"/>
    <col min="4608" max="4608" width="10.109375" customWidth="1"/>
    <col min="4609" max="4609" width="10.33203125" customWidth="1"/>
    <col min="4610" max="4610" width="10.44140625" customWidth="1"/>
    <col min="4611" max="4612" width="10.88671875" customWidth="1"/>
    <col min="4613" max="4613" width="9.6640625" customWidth="1"/>
    <col min="4614" max="4614" width="12.88671875" customWidth="1"/>
    <col min="4856" max="4856" width="4.5546875" customWidth="1"/>
    <col min="4857" max="4857" width="29.109375" customWidth="1"/>
    <col min="4858" max="4858" width="14.109375" customWidth="1"/>
    <col min="4860" max="4860" width="10" customWidth="1"/>
    <col min="4861" max="4861" width="19.88671875" customWidth="1"/>
    <col min="4862" max="4862" width="12.33203125" customWidth="1"/>
    <col min="4863" max="4863" width="10" customWidth="1"/>
    <col min="4864" max="4864" width="10.109375" customWidth="1"/>
    <col min="4865" max="4865" width="10.33203125" customWidth="1"/>
    <col min="4866" max="4866" width="10.44140625" customWidth="1"/>
    <col min="4867" max="4868" width="10.88671875" customWidth="1"/>
    <col min="4869" max="4869" width="9.6640625" customWidth="1"/>
    <col min="4870" max="4870" width="12.88671875" customWidth="1"/>
    <col min="5112" max="5112" width="4.5546875" customWidth="1"/>
    <col min="5113" max="5113" width="29.109375" customWidth="1"/>
    <col min="5114" max="5114" width="14.109375" customWidth="1"/>
    <col min="5116" max="5116" width="10" customWidth="1"/>
    <col min="5117" max="5117" width="19.88671875" customWidth="1"/>
    <col min="5118" max="5118" width="12.33203125" customWidth="1"/>
    <col min="5119" max="5119" width="10" customWidth="1"/>
    <col min="5120" max="5120" width="10.109375" customWidth="1"/>
    <col min="5121" max="5121" width="10.33203125" customWidth="1"/>
    <col min="5122" max="5122" width="10.44140625" customWidth="1"/>
    <col min="5123" max="5124" width="10.88671875" customWidth="1"/>
    <col min="5125" max="5125" width="9.6640625" customWidth="1"/>
    <col min="5126" max="5126" width="12.88671875" customWidth="1"/>
    <col min="5368" max="5368" width="4.5546875" customWidth="1"/>
    <col min="5369" max="5369" width="29.109375" customWidth="1"/>
    <col min="5370" max="5370" width="14.109375" customWidth="1"/>
    <col min="5372" max="5372" width="10" customWidth="1"/>
    <col min="5373" max="5373" width="19.88671875" customWidth="1"/>
    <col min="5374" max="5374" width="12.33203125" customWidth="1"/>
    <col min="5375" max="5375" width="10" customWidth="1"/>
    <col min="5376" max="5376" width="10.109375" customWidth="1"/>
    <col min="5377" max="5377" width="10.33203125" customWidth="1"/>
    <col min="5378" max="5378" width="10.44140625" customWidth="1"/>
    <col min="5379" max="5380" width="10.88671875" customWidth="1"/>
    <col min="5381" max="5381" width="9.6640625" customWidth="1"/>
    <col min="5382" max="5382" width="12.88671875" customWidth="1"/>
    <col min="5624" max="5624" width="4.5546875" customWidth="1"/>
    <col min="5625" max="5625" width="29.109375" customWidth="1"/>
    <col min="5626" max="5626" width="14.109375" customWidth="1"/>
    <col min="5628" max="5628" width="10" customWidth="1"/>
    <col min="5629" max="5629" width="19.88671875" customWidth="1"/>
    <col min="5630" max="5630" width="12.33203125" customWidth="1"/>
    <col min="5631" max="5631" width="10" customWidth="1"/>
    <col min="5632" max="5632" width="10.109375" customWidth="1"/>
    <col min="5633" max="5633" width="10.33203125" customWidth="1"/>
    <col min="5634" max="5634" width="10.44140625" customWidth="1"/>
    <col min="5635" max="5636" width="10.88671875" customWidth="1"/>
    <col min="5637" max="5637" width="9.6640625" customWidth="1"/>
    <col min="5638" max="5638" width="12.88671875" customWidth="1"/>
    <col min="5880" max="5880" width="4.5546875" customWidth="1"/>
    <col min="5881" max="5881" width="29.109375" customWidth="1"/>
    <col min="5882" max="5882" width="14.109375" customWidth="1"/>
    <col min="5884" max="5884" width="10" customWidth="1"/>
    <col min="5885" max="5885" width="19.88671875" customWidth="1"/>
    <col min="5886" max="5886" width="12.33203125" customWidth="1"/>
    <col min="5887" max="5887" width="10" customWidth="1"/>
    <col min="5888" max="5888" width="10.109375" customWidth="1"/>
    <col min="5889" max="5889" width="10.33203125" customWidth="1"/>
    <col min="5890" max="5890" width="10.44140625" customWidth="1"/>
    <col min="5891" max="5892" width="10.88671875" customWidth="1"/>
    <col min="5893" max="5893" width="9.6640625" customWidth="1"/>
    <col min="5894" max="5894" width="12.88671875" customWidth="1"/>
    <col min="6136" max="6136" width="4.5546875" customWidth="1"/>
    <col min="6137" max="6137" width="29.109375" customWidth="1"/>
    <col min="6138" max="6138" width="14.109375" customWidth="1"/>
    <col min="6140" max="6140" width="10" customWidth="1"/>
    <col min="6141" max="6141" width="19.88671875" customWidth="1"/>
    <col min="6142" max="6142" width="12.33203125" customWidth="1"/>
    <col min="6143" max="6143" width="10" customWidth="1"/>
    <col min="6144" max="6144" width="10.109375" customWidth="1"/>
    <col min="6145" max="6145" width="10.33203125" customWidth="1"/>
    <col min="6146" max="6146" width="10.44140625" customWidth="1"/>
    <col min="6147" max="6148" width="10.88671875" customWidth="1"/>
    <col min="6149" max="6149" width="9.6640625" customWidth="1"/>
    <col min="6150" max="6150" width="12.88671875" customWidth="1"/>
    <col min="6392" max="6392" width="4.5546875" customWidth="1"/>
    <col min="6393" max="6393" width="29.109375" customWidth="1"/>
    <col min="6394" max="6394" width="14.109375" customWidth="1"/>
    <col min="6396" max="6396" width="10" customWidth="1"/>
    <col min="6397" max="6397" width="19.88671875" customWidth="1"/>
    <col min="6398" max="6398" width="12.33203125" customWidth="1"/>
    <col min="6399" max="6399" width="10" customWidth="1"/>
    <col min="6400" max="6400" width="10.109375" customWidth="1"/>
    <col min="6401" max="6401" width="10.33203125" customWidth="1"/>
    <col min="6402" max="6402" width="10.44140625" customWidth="1"/>
    <col min="6403" max="6404" width="10.88671875" customWidth="1"/>
    <col min="6405" max="6405" width="9.6640625" customWidth="1"/>
    <col min="6406" max="6406" width="12.88671875" customWidth="1"/>
    <col min="6648" max="6648" width="4.5546875" customWidth="1"/>
    <col min="6649" max="6649" width="29.109375" customWidth="1"/>
    <col min="6650" max="6650" width="14.109375" customWidth="1"/>
    <col min="6652" max="6652" width="10" customWidth="1"/>
    <col min="6653" max="6653" width="19.88671875" customWidth="1"/>
    <col min="6654" max="6654" width="12.33203125" customWidth="1"/>
    <col min="6655" max="6655" width="10" customWidth="1"/>
    <col min="6656" max="6656" width="10.109375" customWidth="1"/>
    <col min="6657" max="6657" width="10.33203125" customWidth="1"/>
    <col min="6658" max="6658" width="10.44140625" customWidth="1"/>
    <col min="6659" max="6660" width="10.88671875" customWidth="1"/>
    <col min="6661" max="6661" width="9.6640625" customWidth="1"/>
    <col min="6662" max="6662" width="12.88671875" customWidth="1"/>
    <col min="6904" max="6904" width="4.5546875" customWidth="1"/>
    <col min="6905" max="6905" width="29.109375" customWidth="1"/>
    <col min="6906" max="6906" width="14.109375" customWidth="1"/>
    <col min="6908" max="6908" width="10" customWidth="1"/>
    <col min="6909" max="6909" width="19.88671875" customWidth="1"/>
    <col min="6910" max="6910" width="12.33203125" customWidth="1"/>
    <col min="6911" max="6911" width="10" customWidth="1"/>
    <col min="6912" max="6912" width="10.109375" customWidth="1"/>
    <col min="6913" max="6913" width="10.33203125" customWidth="1"/>
    <col min="6914" max="6914" width="10.44140625" customWidth="1"/>
    <col min="6915" max="6916" width="10.88671875" customWidth="1"/>
    <col min="6917" max="6917" width="9.6640625" customWidth="1"/>
    <col min="6918" max="6918" width="12.88671875" customWidth="1"/>
    <col min="7160" max="7160" width="4.5546875" customWidth="1"/>
    <col min="7161" max="7161" width="29.109375" customWidth="1"/>
    <col min="7162" max="7162" width="14.109375" customWidth="1"/>
    <col min="7164" max="7164" width="10" customWidth="1"/>
    <col min="7165" max="7165" width="19.88671875" customWidth="1"/>
    <col min="7166" max="7166" width="12.33203125" customWidth="1"/>
    <col min="7167" max="7167" width="10" customWidth="1"/>
    <col min="7168" max="7168" width="10.109375" customWidth="1"/>
    <col min="7169" max="7169" width="10.33203125" customWidth="1"/>
    <col min="7170" max="7170" width="10.44140625" customWidth="1"/>
    <col min="7171" max="7172" width="10.88671875" customWidth="1"/>
    <col min="7173" max="7173" width="9.6640625" customWidth="1"/>
    <col min="7174" max="7174" width="12.88671875" customWidth="1"/>
    <col min="7416" max="7416" width="4.5546875" customWidth="1"/>
    <col min="7417" max="7417" width="29.109375" customWidth="1"/>
    <col min="7418" max="7418" width="14.109375" customWidth="1"/>
    <col min="7420" max="7420" width="10" customWidth="1"/>
    <col min="7421" max="7421" width="19.88671875" customWidth="1"/>
    <col min="7422" max="7422" width="12.33203125" customWidth="1"/>
    <col min="7423" max="7423" width="10" customWidth="1"/>
    <col min="7424" max="7424" width="10.109375" customWidth="1"/>
    <col min="7425" max="7425" width="10.33203125" customWidth="1"/>
    <col min="7426" max="7426" width="10.44140625" customWidth="1"/>
    <col min="7427" max="7428" width="10.88671875" customWidth="1"/>
    <col min="7429" max="7429" width="9.6640625" customWidth="1"/>
    <col min="7430" max="7430" width="12.88671875" customWidth="1"/>
    <col min="7672" max="7672" width="4.5546875" customWidth="1"/>
    <col min="7673" max="7673" width="29.109375" customWidth="1"/>
    <col min="7674" max="7674" width="14.109375" customWidth="1"/>
    <col min="7676" max="7676" width="10" customWidth="1"/>
    <col min="7677" max="7677" width="19.88671875" customWidth="1"/>
    <col min="7678" max="7678" width="12.33203125" customWidth="1"/>
    <col min="7679" max="7679" width="10" customWidth="1"/>
    <col min="7680" max="7680" width="10.109375" customWidth="1"/>
    <col min="7681" max="7681" width="10.33203125" customWidth="1"/>
    <col min="7682" max="7682" width="10.44140625" customWidth="1"/>
    <col min="7683" max="7684" width="10.88671875" customWidth="1"/>
    <col min="7685" max="7685" width="9.6640625" customWidth="1"/>
    <col min="7686" max="7686" width="12.88671875" customWidth="1"/>
    <col min="7928" max="7928" width="4.5546875" customWidth="1"/>
    <col min="7929" max="7929" width="29.109375" customWidth="1"/>
    <col min="7930" max="7930" width="14.109375" customWidth="1"/>
    <col min="7932" max="7932" width="10" customWidth="1"/>
    <col min="7933" max="7933" width="19.88671875" customWidth="1"/>
    <col min="7934" max="7934" width="12.33203125" customWidth="1"/>
    <col min="7935" max="7935" width="10" customWidth="1"/>
    <col min="7936" max="7936" width="10.109375" customWidth="1"/>
    <col min="7937" max="7937" width="10.33203125" customWidth="1"/>
    <col min="7938" max="7938" width="10.44140625" customWidth="1"/>
    <col min="7939" max="7940" width="10.88671875" customWidth="1"/>
    <col min="7941" max="7941" width="9.6640625" customWidth="1"/>
    <col min="7942" max="7942" width="12.88671875" customWidth="1"/>
    <col min="8184" max="8184" width="4.5546875" customWidth="1"/>
    <col min="8185" max="8185" width="29.109375" customWidth="1"/>
    <col min="8186" max="8186" width="14.109375" customWidth="1"/>
    <col min="8188" max="8188" width="10" customWidth="1"/>
    <col min="8189" max="8189" width="19.88671875" customWidth="1"/>
    <col min="8190" max="8190" width="12.33203125" customWidth="1"/>
    <col min="8191" max="8191" width="10" customWidth="1"/>
    <col min="8192" max="8192" width="10.109375" customWidth="1"/>
    <col min="8193" max="8193" width="10.33203125" customWidth="1"/>
    <col min="8194" max="8194" width="10.44140625" customWidth="1"/>
    <col min="8195" max="8196" width="10.88671875" customWidth="1"/>
    <col min="8197" max="8197" width="9.6640625" customWidth="1"/>
    <col min="8198" max="8198" width="12.88671875" customWidth="1"/>
    <col min="8440" max="8440" width="4.5546875" customWidth="1"/>
    <col min="8441" max="8441" width="29.109375" customWidth="1"/>
    <col min="8442" max="8442" width="14.109375" customWidth="1"/>
    <col min="8444" max="8444" width="10" customWidth="1"/>
    <col min="8445" max="8445" width="19.88671875" customWidth="1"/>
    <col min="8446" max="8446" width="12.33203125" customWidth="1"/>
    <col min="8447" max="8447" width="10" customWidth="1"/>
    <col min="8448" max="8448" width="10.109375" customWidth="1"/>
    <col min="8449" max="8449" width="10.33203125" customWidth="1"/>
    <col min="8450" max="8450" width="10.44140625" customWidth="1"/>
    <col min="8451" max="8452" width="10.88671875" customWidth="1"/>
    <col min="8453" max="8453" width="9.6640625" customWidth="1"/>
    <col min="8454" max="8454" width="12.88671875" customWidth="1"/>
    <col min="8696" max="8696" width="4.5546875" customWidth="1"/>
    <col min="8697" max="8697" width="29.109375" customWidth="1"/>
    <col min="8698" max="8698" width="14.109375" customWidth="1"/>
    <col min="8700" max="8700" width="10" customWidth="1"/>
    <col min="8701" max="8701" width="19.88671875" customWidth="1"/>
    <col min="8702" max="8702" width="12.33203125" customWidth="1"/>
    <col min="8703" max="8703" width="10" customWidth="1"/>
    <col min="8704" max="8704" width="10.109375" customWidth="1"/>
    <col min="8705" max="8705" width="10.33203125" customWidth="1"/>
    <col min="8706" max="8706" width="10.44140625" customWidth="1"/>
    <col min="8707" max="8708" width="10.88671875" customWidth="1"/>
    <col min="8709" max="8709" width="9.6640625" customWidth="1"/>
    <col min="8710" max="8710" width="12.88671875" customWidth="1"/>
    <col min="8952" max="8952" width="4.5546875" customWidth="1"/>
    <col min="8953" max="8953" width="29.109375" customWidth="1"/>
    <col min="8954" max="8954" width="14.109375" customWidth="1"/>
    <col min="8956" max="8956" width="10" customWidth="1"/>
    <col min="8957" max="8957" width="19.88671875" customWidth="1"/>
    <col min="8958" max="8958" width="12.33203125" customWidth="1"/>
    <col min="8959" max="8959" width="10" customWidth="1"/>
    <col min="8960" max="8960" width="10.109375" customWidth="1"/>
    <col min="8961" max="8961" width="10.33203125" customWidth="1"/>
    <col min="8962" max="8962" width="10.44140625" customWidth="1"/>
    <col min="8963" max="8964" width="10.88671875" customWidth="1"/>
    <col min="8965" max="8965" width="9.6640625" customWidth="1"/>
    <col min="8966" max="8966" width="12.88671875" customWidth="1"/>
    <col min="9208" max="9208" width="4.5546875" customWidth="1"/>
    <col min="9209" max="9209" width="29.109375" customWidth="1"/>
    <col min="9210" max="9210" width="14.109375" customWidth="1"/>
    <col min="9212" max="9212" width="10" customWidth="1"/>
    <col min="9213" max="9213" width="19.88671875" customWidth="1"/>
    <col min="9214" max="9214" width="12.33203125" customWidth="1"/>
    <col min="9215" max="9215" width="10" customWidth="1"/>
    <col min="9216" max="9216" width="10.109375" customWidth="1"/>
    <col min="9217" max="9217" width="10.33203125" customWidth="1"/>
    <col min="9218" max="9218" width="10.44140625" customWidth="1"/>
    <col min="9219" max="9220" width="10.88671875" customWidth="1"/>
    <col min="9221" max="9221" width="9.6640625" customWidth="1"/>
    <col min="9222" max="9222" width="12.88671875" customWidth="1"/>
    <col min="9464" max="9464" width="4.5546875" customWidth="1"/>
    <col min="9465" max="9465" width="29.109375" customWidth="1"/>
    <col min="9466" max="9466" width="14.109375" customWidth="1"/>
    <col min="9468" max="9468" width="10" customWidth="1"/>
    <col min="9469" max="9469" width="19.88671875" customWidth="1"/>
    <col min="9470" max="9470" width="12.33203125" customWidth="1"/>
    <col min="9471" max="9471" width="10" customWidth="1"/>
    <col min="9472" max="9472" width="10.109375" customWidth="1"/>
    <col min="9473" max="9473" width="10.33203125" customWidth="1"/>
    <col min="9474" max="9474" width="10.44140625" customWidth="1"/>
    <col min="9475" max="9476" width="10.88671875" customWidth="1"/>
    <col min="9477" max="9477" width="9.6640625" customWidth="1"/>
    <col min="9478" max="9478" width="12.88671875" customWidth="1"/>
    <col min="9720" max="9720" width="4.5546875" customWidth="1"/>
    <col min="9721" max="9721" width="29.109375" customWidth="1"/>
    <col min="9722" max="9722" width="14.109375" customWidth="1"/>
    <col min="9724" max="9724" width="10" customWidth="1"/>
    <col min="9725" max="9725" width="19.88671875" customWidth="1"/>
    <col min="9726" max="9726" width="12.33203125" customWidth="1"/>
    <col min="9727" max="9727" width="10" customWidth="1"/>
    <col min="9728" max="9728" width="10.109375" customWidth="1"/>
    <col min="9729" max="9729" width="10.33203125" customWidth="1"/>
    <col min="9730" max="9730" width="10.44140625" customWidth="1"/>
    <col min="9731" max="9732" width="10.88671875" customWidth="1"/>
    <col min="9733" max="9733" width="9.6640625" customWidth="1"/>
    <col min="9734" max="9734" width="12.88671875" customWidth="1"/>
    <col min="9976" max="9976" width="4.5546875" customWidth="1"/>
    <col min="9977" max="9977" width="29.109375" customWidth="1"/>
    <col min="9978" max="9978" width="14.109375" customWidth="1"/>
    <col min="9980" max="9980" width="10" customWidth="1"/>
    <col min="9981" max="9981" width="19.88671875" customWidth="1"/>
    <col min="9982" max="9982" width="12.33203125" customWidth="1"/>
    <col min="9983" max="9983" width="10" customWidth="1"/>
    <col min="9984" max="9984" width="10.109375" customWidth="1"/>
    <col min="9985" max="9985" width="10.33203125" customWidth="1"/>
    <col min="9986" max="9986" width="10.44140625" customWidth="1"/>
    <col min="9987" max="9988" width="10.88671875" customWidth="1"/>
    <col min="9989" max="9989" width="9.6640625" customWidth="1"/>
    <col min="9990" max="9990" width="12.88671875" customWidth="1"/>
    <col min="10232" max="10232" width="4.5546875" customWidth="1"/>
    <col min="10233" max="10233" width="29.109375" customWidth="1"/>
    <col min="10234" max="10234" width="14.109375" customWidth="1"/>
    <col min="10236" max="10236" width="10" customWidth="1"/>
    <col min="10237" max="10237" width="19.88671875" customWidth="1"/>
    <col min="10238" max="10238" width="12.33203125" customWidth="1"/>
    <col min="10239" max="10239" width="10" customWidth="1"/>
    <col min="10240" max="10240" width="10.109375" customWidth="1"/>
    <col min="10241" max="10241" width="10.33203125" customWidth="1"/>
    <col min="10242" max="10242" width="10.44140625" customWidth="1"/>
    <col min="10243" max="10244" width="10.88671875" customWidth="1"/>
    <col min="10245" max="10245" width="9.6640625" customWidth="1"/>
    <col min="10246" max="10246" width="12.88671875" customWidth="1"/>
    <col min="10488" max="10488" width="4.5546875" customWidth="1"/>
    <col min="10489" max="10489" width="29.109375" customWidth="1"/>
    <col min="10490" max="10490" width="14.109375" customWidth="1"/>
    <col min="10492" max="10492" width="10" customWidth="1"/>
    <col min="10493" max="10493" width="19.88671875" customWidth="1"/>
    <col min="10494" max="10494" width="12.33203125" customWidth="1"/>
    <col min="10495" max="10495" width="10" customWidth="1"/>
    <col min="10496" max="10496" width="10.109375" customWidth="1"/>
    <col min="10497" max="10497" width="10.33203125" customWidth="1"/>
    <col min="10498" max="10498" width="10.44140625" customWidth="1"/>
    <col min="10499" max="10500" width="10.88671875" customWidth="1"/>
    <col min="10501" max="10501" width="9.6640625" customWidth="1"/>
    <col min="10502" max="10502" width="12.88671875" customWidth="1"/>
    <col min="10744" max="10744" width="4.5546875" customWidth="1"/>
    <col min="10745" max="10745" width="29.109375" customWidth="1"/>
    <col min="10746" max="10746" width="14.109375" customWidth="1"/>
    <col min="10748" max="10748" width="10" customWidth="1"/>
    <col min="10749" max="10749" width="19.88671875" customWidth="1"/>
    <col min="10750" max="10750" width="12.33203125" customWidth="1"/>
    <col min="10751" max="10751" width="10" customWidth="1"/>
    <col min="10752" max="10752" width="10.109375" customWidth="1"/>
    <col min="10753" max="10753" width="10.33203125" customWidth="1"/>
    <col min="10754" max="10754" width="10.44140625" customWidth="1"/>
    <col min="10755" max="10756" width="10.88671875" customWidth="1"/>
    <col min="10757" max="10757" width="9.6640625" customWidth="1"/>
    <col min="10758" max="10758" width="12.88671875" customWidth="1"/>
    <col min="11000" max="11000" width="4.5546875" customWidth="1"/>
    <col min="11001" max="11001" width="29.109375" customWidth="1"/>
    <col min="11002" max="11002" width="14.109375" customWidth="1"/>
    <col min="11004" max="11004" width="10" customWidth="1"/>
    <col min="11005" max="11005" width="19.88671875" customWidth="1"/>
    <col min="11006" max="11006" width="12.33203125" customWidth="1"/>
    <col min="11007" max="11007" width="10" customWidth="1"/>
    <col min="11008" max="11008" width="10.109375" customWidth="1"/>
    <col min="11009" max="11009" width="10.33203125" customWidth="1"/>
    <col min="11010" max="11010" width="10.44140625" customWidth="1"/>
    <col min="11011" max="11012" width="10.88671875" customWidth="1"/>
    <col min="11013" max="11013" width="9.6640625" customWidth="1"/>
    <col min="11014" max="11014" width="12.88671875" customWidth="1"/>
    <col min="11256" max="11256" width="4.5546875" customWidth="1"/>
    <col min="11257" max="11257" width="29.109375" customWidth="1"/>
    <col min="11258" max="11258" width="14.109375" customWidth="1"/>
    <col min="11260" max="11260" width="10" customWidth="1"/>
    <col min="11261" max="11261" width="19.88671875" customWidth="1"/>
    <col min="11262" max="11262" width="12.33203125" customWidth="1"/>
    <col min="11263" max="11263" width="10" customWidth="1"/>
    <col min="11264" max="11264" width="10.109375" customWidth="1"/>
    <col min="11265" max="11265" width="10.33203125" customWidth="1"/>
    <col min="11266" max="11266" width="10.44140625" customWidth="1"/>
    <col min="11267" max="11268" width="10.88671875" customWidth="1"/>
    <col min="11269" max="11269" width="9.6640625" customWidth="1"/>
    <col min="11270" max="11270" width="12.88671875" customWidth="1"/>
    <col min="11512" max="11512" width="4.5546875" customWidth="1"/>
    <col min="11513" max="11513" width="29.109375" customWidth="1"/>
    <col min="11514" max="11514" width="14.109375" customWidth="1"/>
    <col min="11516" max="11516" width="10" customWidth="1"/>
    <col min="11517" max="11517" width="19.88671875" customWidth="1"/>
    <col min="11518" max="11518" width="12.33203125" customWidth="1"/>
    <col min="11519" max="11519" width="10" customWidth="1"/>
    <col min="11520" max="11520" width="10.109375" customWidth="1"/>
    <col min="11521" max="11521" width="10.33203125" customWidth="1"/>
    <col min="11522" max="11522" width="10.44140625" customWidth="1"/>
    <col min="11523" max="11524" width="10.88671875" customWidth="1"/>
    <col min="11525" max="11525" width="9.6640625" customWidth="1"/>
    <col min="11526" max="11526" width="12.88671875" customWidth="1"/>
    <col min="11768" max="11768" width="4.5546875" customWidth="1"/>
    <col min="11769" max="11769" width="29.109375" customWidth="1"/>
    <col min="11770" max="11770" width="14.109375" customWidth="1"/>
    <col min="11772" max="11772" width="10" customWidth="1"/>
    <col min="11773" max="11773" width="19.88671875" customWidth="1"/>
    <col min="11774" max="11774" width="12.33203125" customWidth="1"/>
    <col min="11775" max="11775" width="10" customWidth="1"/>
    <col min="11776" max="11776" width="10.109375" customWidth="1"/>
    <col min="11777" max="11777" width="10.33203125" customWidth="1"/>
    <col min="11778" max="11778" width="10.44140625" customWidth="1"/>
    <col min="11779" max="11780" width="10.88671875" customWidth="1"/>
    <col min="11781" max="11781" width="9.6640625" customWidth="1"/>
    <col min="11782" max="11782" width="12.88671875" customWidth="1"/>
    <col min="12024" max="12024" width="4.5546875" customWidth="1"/>
    <col min="12025" max="12025" width="29.109375" customWidth="1"/>
    <col min="12026" max="12026" width="14.109375" customWidth="1"/>
    <col min="12028" max="12028" width="10" customWidth="1"/>
    <col min="12029" max="12029" width="19.88671875" customWidth="1"/>
    <col min="12030" max="12030" width="12.33203125" customWidth="1"/>
    <col min="12031" max="12031" width="10" customWidth="1"/>
    <col min="12032" max="12032" width="10.109375" customWidth="1"/>
    <col min="12033" max="12033" width="10.33203125" customWidth="1"/>
    <col min="12034" max="12034" width="10.44140625" customWidth="1"/>
    <col min="12035" max="12036" width="10.88671875" customWidth="1"/>
    <col min="12037" max="12037" width="9.6640625" customWidth="1"/>
    <col min="12038" max="12038" width="12.88671875" customWidth="1"/>
    <col min="12280" max="12280" width="4.5546875" customWidth="1"/>
    <col min="12281" max="12281" width="29.109375" customWidth="1"/>
    <col min="12282" max="12282" width="14.109375" customWidth="1"/>
    <col min="12284" max="12284" width="10" customWidth="1"/>
    <col min="12285" max="12285" width="19.88671875" customWidth="1"/>
    <col min="12286" max="12286" width="12.33203125" customWidth="1"/>
    <col min="12287" max="12287" width="10" customWidth="1"/>
    <col min="12288" max="12288" width="10.109375" customWidth="1"/>
    <col min="12289" max="12289" width="10.33203125" customWidth="1"/>
    <col min="12290" max="12290" width="10.44140625" customWidth="1"/>
    <col min="12291" max="12292" width="10.88671875" customWidth="1"/>
    <col min="12293" max="12293" width="9.6640625" customWidth="1"/>
    <col min="12294" max="12294" width="12.88671875" customWidth="1"/>
    <col min="12536" max="12536" width="4.5546875" customWidth="1"/>
    <col min="12537" max="12537" width="29.109375" customWidth="1"/>
    <col min="12538" max="12538" width="14.109375" customWidth="1"/>
    <col min="12540" max="12540" width="10" customWidth="1"/>
    <col min="12541" max="12541" width="19.88671875" customWidth="1"/>
    <col min="12542" max="12542" width="12.33203125" customWidth="1"/>
    <col min="12543" max="12543" width="10" customWidth="1"/>
    <col min="12544" max="12544" width="10.109375" customWidth="1"/>
    <col min="12545" max="12545" width="10.33203125" customWidth="1"/>
    <col min="12546" max="12546" width="10.44140625" customWidth="1"/>
    <col min="12547" max="12548" width="10.88671875" customWidth="1"/>
    <col min="12549" max="12549" width="9.6640625" customWidth="1"/>
    <col min="12550" max="12550" width="12.88671875" customWidth="1"/>
    <col min="12792" max="12792" width="4.5546875" customWidth="1"/>
    <col min="12793" max="12793" width="29.109375" customWidth="1"/>
    <col min="12794" max="12794" width="14.109375" customWidth="1"/>
    <col min="12796" max="12796" width="10" customWidth="1"/>
    <col min="12797" max="12797" width="19.88671875" customWidth="1"/>
    <col min="12798" max="12798" width="12.33203125" customWidth="1"/>
    <col min="12799" max="12799" width="10" customWidth="1"/>
    <col min="12800" max="12800" width="10.109375" customWidth="1"/>
    <col min="12801" max="12801" width="10.33203125" customWidth="1"/>
    <col min="12802" max="12802" width="10.44140625" customWidth="1"/>
    <col min="12803" max="12804" width="10.88671875" customWidth="1"/>
    <col min="12805" max="12805" width="9.6640625" customWidth="1"/>
    <col min="12806" max="12806" width="12.88671875" customWidth="1"/>
    <col min="13048" max="13048" width="4.5546875" customWidth="1"/>
    <col min="13049" max="13049" width="29.109375" customWidth="1"/>
    <col min="13050" max="13050" width="14.109375" customWidth="1"/>
    <col min="13052" max="13052" width="10" customWidth="1"/>
    <col min="13053" max="13053" width="19.88671875" customWidth="1"/>
    <col min="13054" max="13054" width="12.33203125" customWidth="1"/>
    <col min="13055" max="13055" width="10" customWidth="1"/>
    <col min="13056" max="13056" width="10.109375" customWidth="1"/>
    <col min="13057" max="13057" width="10.33203125" customWidth="1"/>
    <col min="13058" max="13058" width="10.44140625" customWidth="1"/>
    <col min="13059" max="13060" width="10.88671875" customWidth="1"/>
    <col min="13061" max="13061" width="9.6640625" customWidth="1"/>
    <col min="13062" max="13062" width="12.88671875" customWidth="1"/>
    <col min="13304" max="13304" width="4.5546875" customWidth="1"/>
    <col min="13305" max="13305" width="29.109375" customWidth="1"/>
    <col min="13306" max="13306" width="14.109375" customWidth="1"/>
    <col min="13308" max="13308" width="10" customWidth="1"/>
    <col min="13309" max="13309" width="19.88671875" customWidth="1"/>
    <col min="13310" max="13310" width="12.33203125" customWidth="1"/>
    <col min="13311" max="13311" width="10" customWidth="1"/>
    <col min="13312" max="13312" width="10.109375" customWidth="1"/>
    <col min="13313" max="13313" width="10.33203125" customWidth="1"/>
    <col min="13314" max="13314" width="10.44140625" customWidth="1"/>
    <col min="13315" max="13316" width="10.88671875" customWidth="1"/>
    <col min="13317" max="13317" width="9.6640625" customWidth="1"/>
    <col min="13318" max="13318" width="12.88671875" customWidth="1"/>
    <col min="13560" max="13560" width="4.5546875" customWidth="1"/>
    <col min="13561" max="13561" width="29.109375" customWidth="1"/>
    <col min="13562" max="13562" width="14.109375" customWidth="1"/>
    <col min="13564" max="13564" width="10" customWidth="1"/>
    <col min="13565" max="13565" width="19.88671875" customWidth="1"/>
    <col min="13566" max="13566" width="12.33203125" customWidth="1"/>
    <col min="13567" max="13567" width="10" customWidth="1"/>
    <col min="13568" max="13568" width="10.109375" customWidth="1"/>
    <col min="13569" max="13569" width="10.33203125" customWidth="1"/>
    <col min="13570" max="13570" width="10.44140625" customWidth="1"/>
    <col min="13571" max="13572" width="10.88671875" customWidth="1"/>
    <col min="13573" max="13573" width="9.6640625" customWidth="1"/>
    <col min="13574" max="13574" width="12.88671875" customWidth="1"/>
    <col min="13816" max="13816" width="4.5546875" customWidth="1"/>
    <col min="13817" max="13817" width="29.109375" customWidth="1"/>
    <col min="13818" max="13818" width="14.109375" customWidth="1"/>
    <col min="13820" max="13820" width="10" customWidth="1"/>
    <col min="13821" max="13821" width="19.88671875" customWidth="1"/>
    <col min="13822" max="13822" width="12.33203125" customWidth="1"/>
    <col min="13823" max="13823" width="10" customWidth="1"/>
    <col min="13824" max="13824" width="10.109375" customWidth="1"/>
    <col min="13825" max="13825" width="10.33203125" customWidth="1"/>
    <col min="13826" max="13826" width="10.44140625" customWidth="1"/>
    <col min="13827" max="13828" width="10.88671875" customWidth="1"/>
    <col min="13829" max="13829" width="9.6640625" customWidth="1"/>
    <col min="13830" max="13830" width="12.88671875" customWidth="1"/>
    <col min="14072" max="14072" width="4.5546875" customWidth="1"/>
    <col min="14073" max="14073" width="29.109375" customWidth="1"/>
    <col min="14074" max="14074" width="14.109375" customWidth="1"/>
    <col min="14076" max="14076" width="10" customWidth="1"/>
    <col min="14077" max="14077" width="19.88671875" customWidth="1"/>
    <col min="14078" max="14078" width="12.33203125" customWidth="1"/>
    <col min="14079" max="14079" width="10" customWidth="1"/>
    <col min="14080" max="14080" width="10.109375" customWidth="1"/>
    <col min="14081" max="14081" width="10.33203125" customWidth="1"/>
    <col min="14082" max="14082" width="10.44140625" customWidth="1"/>
    <col min="14083" max="14084" width="10.88671875" customWidth="1"/>
    <col min="14085" max="14085" width="9.6640625" customWidth="1"/>
    <col min="14086" max="14086" width="12.88671875" customWidth="1"/>
    <col min="14328" max="14328" width="4.5546875" customWidth="1"/>
    <col min="14329" max="14329" width="29.109375" customWidth="1"/>
    <col min="14330" max="14330" width="14.109375" customWidth="1"/>
    <col min="14332" max="14332" width="10" customWidth="1"/>
    <col min="14333" max="14333" width="19.88671875" customWidth="1"/>
    <col min="14334" max="14334" width="12.33203125" customWidth="1"/>
    <col min="14335" max="14335" width="10" customWidth="1"/>
    <col min="14336" max="14336" width="10.109375" customWidth="1"/>
    <col min="14337" max="14337" width="10.33203125" customWidth="1"/>
    <col min="14338" max="14338" width="10.44140625" customWidth="1"/>
    <col min="14339" max="14340" width="10.88671875" customWidth="1"/>
    <col min="14341" max="14341" width="9.6640625" customWidth="1"/>
    <col min="14342" max="14342" width="12.88671875" customWidth="1"/>
    <col min="14584" max="14584" width="4.5546875" customWidth="1"/>
    <col min="14585" max="14585" width="29.109375" customWidth="1"/>
    <col min="14586" max="14586" width="14.109375" customWidth="1"/>
    <col min="14588" max="14588" width="10" customWidth="1"/>
    <col min="14589" max="14589" width="19.88671875" customWidth="1"/>
    <col min="14590" max="14590" width="12.33203125" customWidth="1"/>
    <col min="14591" max="14591" width="10" customWidth="1"/>
    <col min="14592" max="14592" width="10.109375" customWidth="1"/>
    <col min="14593" max="14593" width="10.33203125" customWidth="1"/>
    <col min="14594" max="14594" width="10.44140625" customWidth="1"/>
    <col min="14595" max="14596" width="10.88671875" customWidth="1"/>
    <col min="14597" max="14597" width="9.6640625" customWidth="1"/>
    <col min="14598" max="14598" width="12.88671875" customWidth="1"/>
    <col min="14840" max="14840" width="4.5546875" customWidth="1"/>
    <col min="14841" max="14841" width="29.109375" customWidth="1"/>
    <col min="14842" max="14842" width="14.109375" customWidth="1"/>
    <col min="14844" max="14844" width="10" customWidth="1"/>
    <col min="14845" max="14845" width="19.88671875" customWidth="1"/>
    <col min="14846" max="14846" width="12.33203125" customWidth="1"/>
    <col min="14847" max="14847" width="10" customWidth="1"/>
    <col min="14848" max="14848" width="10.109375" customWidth="1"/>
    <col min="14849" max="14849" width="10.33203125" customWidth="1"/>
    <col min="14850" max="14850" width="10.44140625" customWidth="1"/>
    <col min="14851" max="14852" width="10.88671875" customWidth="1"/>
    <col min="14853" max="14853" width="9.6640625" customWidth="1"/>
    <col min="14854" max="14854" width="12.88671875" customWidth="1"/>
    <col min="15096" max="15096" width="4.5546875" customWidth="1"/>
    <col min="15097" max="15097" width="29.109375" customWidth="1"/>
    <col min="15098" max="15098" width="14.109375" customWidth="1"/>
    <col min="15100" max="15100" width="10" customWidth="1"/>
    <col min="15101" max="15101" width="19.88671875" customWidth="1"/>
    <col min="15102" max="15102" width="12.33203125" customWidth="1"/>
    <col min="15103" max="15103" width="10" customWidth="1"/>
    <col min="15104" max="15104" width="10.109375" customWidth="1"/>
    <col min="15105" max="15105" width="10.33203125" customWidth="1"/>
    <col min="15106" max="15106" width="10.44140625" customWidth="1"/>
    <col min="15107" max="15108" width="10.88671875" customWidth="1"/>
    <col min="15109" max="15109" width="9.6640625" customWidth="1"/>
    <col min="15110" max="15110" width="12.88671875" customWidth="1"/>
    <col min="15352" max="15352" width="4.5546875" customWidth="1"/>
    <col min="15353" max="15353" width="29.109375" customWidth="1"/>
    <col min="15354" max="15354" width="14.109375" customWidth="1"/>
    <col min="15356" max="15356" width="10" customWidth="1"/>
    <col min="15357" max="15357" width="19.88671875" customWidth="1"/>
    <col min="15358" max="15358" width="12.33203125" customWidth="1"/>
    <col min="15359" max="15359" width="10" customWidth="1"/>
    <col min="15360" max="15360" width="10.109375" customWidth="1"/>
    <col min="15361" max="15361" width="10.33203125" customWidth="1"/>
    <col min="15362" max="15362" width="10.44140625" customWidth="1"/>
    <col min="15363" max="15364" width="10.88671875" customWidth="1"/>
    <col min="15365" max="15365" width="9.6640625" customWidth="1"/>
    <col min="15366" max="15366" width="12.88671875" customWidth="1"/>
    <col min="15608" max="15608" width="4.5546875" customWidth="1"/>
    <col min="15609" max="15609" width="29.109375" customWidth="1"/>
    <col min="15610" max="15610" width="14.109375" customWidth="1"/>
    <col min="15612" max="15612" width="10" customWidth="1"/>
    <col min="15613" max="15613" width="19.88671875" customWidth="1"/>
    <col min="15614" max="15614" width="12.33203125" customWidth="1"/>
    <col min="15615" max="15615" width="10" customWidth="1"/>
    <col min="15616" max="15616" width="10.109375" customWidth="1"/>
    <col min="15617" max="15617" width="10.33203125" customWidth="1"/>
    <col min="15618" max="15618" width="10.44140625" customWidth="1"/>
    <col min="15619" max="15620" width="10.88671875" customWidth="1"/>
    <col min="15621" max="15621" width="9.6640625" customWidth="1"/>
    <col min="15622" max="15622" width="12.88671875" customWidth="1"/>
    <col min="15864" max="15864" width="4.5546875" customWidth="1"/>
    <col min="15865" max="15865" width="29.109375" customWidth="1"/>
    <col min="15866" max="15866" width="14.109375" customWidth="1"/>
    <col min="15868" max="15868" width="10" customWidth="1"/>
    <col min="15869" max="15869" width="19.88671875" customWidth="1"/>
    <col min="15870" max="15870" width="12.33203125" customWidth="1"/>
    <col min="15871" max="15871" width="10" customWidth="1"/>
    <col min="15872" max="15872" width="10.109375" customWidth="1"/>
    <col min="15873" max="15873" width="10.33203125" customWidth="1"/>
    <col min="15874" max="15874" width="10.44140625" customWidth="1"/>
    <col min="15875" max="15876" width="10.88671875" customWidth="1"/>
    <col min="15877" max="15877" width="9.6640625" customWidth="1"/>
    <col min="15878" max="15878" width="12.88671875" customWidth="1"/>
    <col min="16120" max="16120" width="4.5546875" customWidth="1"/>
    <col min="16121" max="16121" width="29.109375" customWidth="1"/>
    <col min="16122" max="16122" width="14.109375" customWidth="1"/>
    <col min="16124" max="16124" width="10" customWidth="1"/>
    <col min="16125" max="16125" width="19.88671875" customWidth="1"/>
    <col min="16126" max="16126" width="12.33203125" customWidth="1"/>
    <col min="16127" max="16127" width="10" customWidth="1"/>
    <col min="16128" max="16128" width="10.109375" customWidth="1"/>
    <col min="16129" max="16129" width="10.33203125" customWidth="1"/>
    <col min="16130" max="16130" width="10.44140625" customWidth="1"/>
    <col min="16131" max="16132" width="10.88671875" customWidth="1"/>
    <col min="16133" max="16133" width="9.6640625" customWidth="1"/>
    <col min="16134" max="16134" width="12.88671875" customWidth="1"/>
  </cols>
  <sheetData>
    <row r="1" spans="1:17">
      <c r="G1" s="4"/>
      <c r="H1" s="4"/>
      <c r="I1" s="93"/>
      <c r="J1" s="93"/>
      <c r="K1" s="93"/>
      <c r="L1" s="93"/>
    </row>
    <row r="2" spans="1:17" ht="109.5" customHeight="1">
      <c r="G2" s="3"/>
      <c r="H2" s="3"/>
      <c r="I2" s="46"/>
      <c r="J2" s="46"/>
      <c r="K2" s="96" t="s">
        <v>98</v>
      </c>
      <c r="L2" s="96"/>
      <c r="M2" s="96"/>
      <c r="N2" s="96"/>
    </row>
    <row r="3" spans="1:17" ht="15.75" customHeight="1">
      <c r="G3" s="2"/>
      <c r="H3" s="2"/>
      <c r="I3" s="2"/>
      <c r="J3" s="2"/>
      <c r="K3" s="14"/>
      <c r="L3" s="2"/>
    </row>
    <row r="4" spans="1:17" ht="15.6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7" ht="30.75" customHeight="1">
      <c r="A5" s="95" t="s">
        <v>40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1:17" s="1" customFormat="1" ht="21" customHeight="1">
      <c r="A6" s="78" t="s">
        <v>0</v>
      </c>
      <c r="B6" s="78" t="s">
        <v>8</v>
      </c>
      <c r="C6" s="78" t="s">
        <v>11</v>
      </c>
      <c r="D6" s="78" t="s">
        <v>12</v>
      </c>
      <c r="E6" s="78" t="s">
        <v>2</v>
      </c>
      <c r="F6" s="78"/>
      <c r="G6" s="78"/>
      <c r="H6" s="78"/>
      <c r="I6" s="97" t="s">
        <v>25</v>
      </c>
      <c r="J6" s="98"/>
      <c r="K6" s="98"/>
      <c r="L6" s="98"/>
      <c r="M6" s="98"/>
      <c r="N6" s="98"/>
      <c r="O6" s="98"/>
      <c r="P6" s="98"/>
      <c r="Q6" s="99"/>
    </row>
    <row r="7" spans="1:17" s="1" customFormat="1" ht="38.25" customHeight="1">
      <c r="A7" s="78"/>
      <c r="B7" s="78"/>
      <c r="C7" s="78"/>
      <c r="D7" s="78"/>
      <c r="E7" s="9" t="s">
        <v>6</v>
      </c>
      <c r="F7" s="9" t="s">
        <v>4</v>
      </c>
      <c r="G7" s="9" t="s">
        <v>5</v>
      </c>
      <c r="H7" s="9" t="s">
        <v>1</v>
      </c>
      <c r="I7" s="9" t="s">
        <v>7</v>
      </c>
      <c r="J7" s="8" t="s">
        <v>16</v>
      </c>
      <c r="K7" s="15" t="s">
        <v>17</v>
      </c>
      <c r="L7" s="9" t="s">
        <v>18</v>
      </c>
      <c r="M7" s="45" t="s">
        <v>62</v>
      </c>
      <c r="N7" s="45" t="s">
        <v>86</v>
      </c>
      <c r="O7" s="45" t="s">
        <v>101</v>
      </c>
      <c r="P7" s="45" t="s">
        <v>102</v>
      </c>
      <c r="Q7" s="45" t="s">
        <v>103</v>
      </c>
    </row>
    <row r="8" spans="1:17" s="1" customFormat="1" ht="16.95" customHeight="1">
      <c r="A8" s="6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16">
        <v>11</v>
      </c>
      <c r="L8" s="9">
        <v>12</v>
      </c>
      <c r="M8" s="13">
        <v>13</v>
      </c>
      <c r="N8" s="52">
        <v>14</v>
      </c>
      <c r="O8" s="45">
        <v>15</v>
      </c>
      <c r="P8" s="45">
        <v>16</v>
      </c>
      <c r="Q8" s="45">
        <v>17</v>
      </c>
    </row>
    <row r="9" spans="1:17" s="1" customFormat="1" ht="15" customHeight="1">
      <c r="A9" s="7">
        <v>1</v>
      </c>
      <c r="B9" s="75" t="s">
        <v>14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7"/>
    </row>
    <row r="10" spans="1:17" s="1" customFormat="1" ht="117.75" customHeight="1">
      <c r="A10" s="78">
        <v>2</v>
      </c>
      <c r="B10" s="80" t="s">
        <v>41</v>
      </c>
      <c r="C10" s="81" t="s">
        <v>78</v>
      </c>
      <c r="D10" s="25" t="s">
        <v>9</v>
      </c>
      <c r="E10" s="25" t="s">
        <v>13</v>
      </c>
      <c r="F10" s="25" t="s">
        <v>13</v>
      </c>
      <c r="G10" s="25" t="s">
        <v>13</v>
      </c>
      <c r="H10" s="25" t="s">
        <v>13</v>
      </c>
      <c r="I10" s="26">
        <f>SUM(J10:Q10)</f>
        <v>2319303160.96</v>
      </c>
      <c r="J10" s="26">
        <f>J112</f>
        <v>384505850.44</v>
      </c>
      <c r="K10" s="27">
        <f>K14+K18+K27+K25</f>
        <v>439151691.36000001</v>
      </c>
      <c r="L10" s="27">
        <f>L14+L18+L27+L26</f>
        <v>499067681.15999997</v>
      </c>
      <c r="M10" s="27">
        <f>M14+M18+M27+M25</f>
        <v>470343969</v>
      </c>
      <c r="N10" s="27">
        <f>N14+N18+N27+N25</f>
        <v>470343969</v>
      </c>
      <c r="O10" s="28">
        <f>O25</f>
        <v>19720000</v>
      </c>
      <c r="P10" s="28">
        <f t="shared" ref="P10:Q10" si="0">P25</f>
        <v>19720000</v>
      </c>
      <c r="Q10" s="28">
        <f t="shared" si="0"/>
        <v>16450000</v>
      </c>
    </row>
    <row r="11" spans="1:17" s="1" customFormat="1" ht="36" hidden="1" customHeight="1">
      <c r="A11" s="78"/>
      <c r="B11" s="80"/>
      <c r="C11" s="81"/>
      <c r="D11" s="25"/>
      <c r="E11" s="25"/>
      <c r="F11" s="25"/>
      <c r="G11" s="25"/>
      <c r="H11" s="25"/>
      <c r="I11" s="26" t="e">
        <f>J11+K11+L11+M11+#REF!</f>
        <v>#REF!</v>
      </c>
      <c r="J11" s="26"/>
      <c r="K11" s="27"/>
      <c r="L11" s="26"/>
      <c r="M11" s="28"/>
      <c r="N11" s="51"/>
      <c r="O11" s="28"/>
      <c r="P11" s="28"/>
      <c r="Q11" s="28"/>
    </row>
    <row r="12" spans="1:17" s="1" customFormat="1" ht="48" customHeight="1">
      <c r="A12" s="78"/>
      <c r="B12" s="80"/>
      <c r="C12" s="81"/>
      <c r="D12" s="25" t="s">
        <v>34</v>
      </c>
      <c r="E12" s="25" t="s">
        <v>13</v>
      </c>
      <c r="F12" s="25" t="s">
        <v>13</v>
      </c>
      <c r="G12" s="25" t="s">
        <v>13</v>
      </c>
      <c r="H12" s="25" t="s">
        <v>13</v>
      </c>
      <c r="I12" s="26">
        <f>J12+K12+L12+M12+N12</f>
        <v>64446442.890000001</v>
      </c>
      <c r="J12" s="26">
        <f>J55</f>
        <v>6205500</v>
      </c>
      <c r="K12" s="27">
        <f>K55+K30</f>
        <v>44705596.890000001</v>
      </c>
      <c r="L12" s="26">
        <f>L55</f>
        <v>5993251</v>
      </c>
      <c r="M12" s="28">
        <f>M55</f>
        <v>3647705</v>
      </c>
      <c r="N12" s="28">
        <f>N55</f>
        <v>3894390</v>
      </c>
      <c r="O12" s="28">
        <v>0</v>
      </c>
      <c r="P12" s="28">
        <v>0</v>
      </c>
      <c r="Q12" s="28">
        <v>0</v>
      </c>
    </row>
    <row r="13" spans="1:17" s="1" customFormat="1" ht="93" customHeight="1">
      <c r="A13" s="78"/>
      <c r="B13" s="80"/>
      <c r="C13" s="81"/>
      <c r="D13" s="25" t="s">
        <v>65</v>
      </c>
      <c r="E13" s="25" t="s">
        <v>13</v>
      </c>
      <c r="F13" s="25" t="s">
        <v>13</v>
      </c>
      <c r="G13" s="25" t="s">
        <v>13</v>
      </c>
      <c r="H13" s="25" t="s">
        <v>13</v>
      </c>
      <c r="I13" s="26">
        <f>J13+K13+L13+M13+N13</f>
        <v>100438120</v>
      </c>
      <c r="J13" s="26">
        <v>0</v>
      </c>
      <c r="K13" s="27">
        <f>K114</f>
        <v>100438120</v>
      </c>
      <c r="L13" s="26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</row>
    <row r="14" spans="1:17" s="1" customFormat="1" ht="82.5" customHeight="1">
      <c r="A14" s="36">
        <v>3</v>
      </c>
      <c r="B14" s="25" t="s">
        <v>42</v>
      </c>
      <c r="C14" s="25" t="s">
        <v>29</v>
      </c>
      <c r="D14" s="25" t="s">
        <v>9</v>
      </c>
      <c r="E14" s="25" t="s">
        <v>13</v>
      </c>
      <c r="F14" s="25" t="s">
        <v>13</v>
      </c>
      <c r="G14" s="25" t="s">
        <v>13</v>
      </c>
      <c r="H14" s="25" t="s">
        <v>13</v>
      </c>
      <c r="I14" s="26">
        <f>J14+K14+L14+M14+N14</f>
        <v>95445461.090000004</v>
      </c>
      <c r="J14" s="26">
        <f>J15</f>
        <v>9533300.5500000007</v>
      </c>
      <c r="K14" s="27">
        <f>K15</f>
        <v>13147554.710000001</v>
      </c>
      <c r="L14" s="26">
        <f>L15</f>
        <v>26134868.609999999</v>
      </c>
      <c r="M14" s="28">
        <f>M15</f>
        <v>23314868.609999999</v>
      </c>
      <c r="N14" s="28">
        <f>N15</f>
        <v>23314868.609999999</v>
      </c>
      <c r="O14" s="28">
        <v>0</v>
      </c>
      <c r="P14" s="28">
        <v>0</v>
      </c>
      <c r="Q14" s="28">
        <v>0</v>
      </c>
    </row>
    <row r="15" spans="1:17" s="1" customFormat="1" ht="108.75" customHeight="1">
      <c r="A15" s="36">
        <v>4</v>
      </c>
      <c r="B15" s="64" t="s">
        <v>43</v>
      </c>
      <c r="C15" s="25" t="s">
        <v>27</v>
      </c>
      <c r="D15" s="25" t="s">
        <v>9</v>
      </c>
      <c r="E15" s="25" t="s">
        <v>13</v>
      </c>
      <c r="F15" s="25" t="s">
        <v>13</v>
      </c>
      <c r="G15" s="25" t="s">
        <v>13</v>
      </c>
      <c r="H15" s="25" t="s">
        <v>13</v>
      </c>
      <c r="I15" s="29">
        <f>J15+K15+L15+M15+N15</f>
        <v>95445461.090000004</v>
      </c>
      <c r="J15" s="26">
        <f>J16+J17</f>
        <v>9533300.5500000007</v>
      </c>
      <c r="K15" s="29">
        <f>K16+K17</f>
        <v>13147554.710000001</v>
      </c>
      <c r="L15" s="26">
        <f>L16+L17</f>
        <v>26134868.609999999</v>
      </c>
      <c r="M15" s="30">
        <f>M16+M17</f>
        <v>23314868.609999999</v>
      </c>
      <c r="N15" s="30">
        <f>N16+N17</f>
        <v>23314868.609999999</v>
      </c>
      <c r="O15" s="28">
        <v>0</v>
      </c>
      <c r="P15" s="28">
        <v>0</v>
      </c>
      <c r="Q15" s="28">
        <v>0</v>
      </c>
    </row>
    <row r="16" spans="1:17" s="1" customFormat="1" ht="139.5" customHeight="1">
      <c r="A16" s="36">
        <v>5</v>
      </c>
      <c r="B16" s="64" t="s">
        <v>44</v>
      </c>
      <c r="C16" s="25" t="s">
        <v>27</v>
      </c>
      <c r="D16" s="25" t="s">
        <v>9</v>
      </c>
      <c r="E16" s="25" t="s">
        <v>13</v>
      </c>
      <c r="F16" s="25" t="s">
        <v>13</v>
      </c>
      <c r="G16" s="25" t="s">
        <v>13</v>
      </c>
      <c r="H16" s="25" t="s">
        <v>13</v>
      </c>
      <c r="I16" s="26">
        <f>J16+K16+L16+M16+N16</f>
        <v>62175748.890000001</v>
      </c>
      <c r="J16" s="26">
        <f>5906497.55+597090.8</f>
        <v>6503588.3499999996</v>
      </c>
      <c r="K16" s="26">
        <f>6164146+2000000+6900000-777174.7-1139416.59</f>
        <v>13147554.710000001</v>
      </c>
      <c r="L16" s="26">
        <f>8164146+6900000+250722.61-6240000+2820000</f>
        <v>11894868.609999999</v>
      </c>
      <c r="M16" s="30">
        <f>8164146+6900000+250722.61</f>
        <v>15314868.609999999</v>
      </c>
      <c r="N16" s="58">
        <f>8164146+6900000+250722.61</f>
        <v>15314868.609999999</v>
      </c>
      <c r="O16" s="28">
        <v>0</v>
      </c>
      <c r="P16" s="28">
        <v>0</v>
      </c>
      <c r="Q16" s="28">
        <v>0</v>
      </c>
    </row>
    <row r="17" spans="1:17" s="1" customFormat="1" ht="81" customHeight="1">
      <c r="A17" s="36">
        <v>6</v>
      </c>
      <c r="B17" s="63" t="s">
        <v>45</v>
      </c>
      <c r="C17" s="25" t="s">
        <v>27</v>
      </c>
      <c r="D17" s="25" t="s">
        <v>9</v>
      </c>
      <c r="E17" s="25" t="s">
        <v>13</v>
      </c>
      <c r="F17" s="25" t="s">
        <v>13</v>
      </c>
      <c r="G17" s="25" t="s">
        <v>13</v>
      </c>
      <c r="H17" s="25" t="s">
        <v>13</v>
      </c>
      <c r="I17" s="26">
        <f>SUM(J17:N17)</f>
        <v>33269712.199999999</v>
      </c>
      <c r="J17" s="26">
        <f>5208012.5-3240-607951.82-1549472.18-17636.3</f>
        <v>3029712.2</v>
      </c>
      <c r="K17" s="26">
        <v>0</v>
      </c>
      <c r="L17" s="26">
        <f>14900000-6900000+6240000</f>
        <v>14240000</v>
      </c>
      <c r="M17" s="30">
        <f>14900000-6900000</f>
        <v>8000000</v>
      </c>
      <c r="N17" s="30">
        <f>14900000-6900000</f>
        <v>8000000</v>
      </c>
      <c r="O17" s="28">
        <v>0</v>
      </c>
      <c r="P17" s="28">
        <v>0</v>
      </c>
      <c r="Q17" s="28">
        <v>0</v>
      </c>
    </row>
    <row r="18" spans="1:17" s="1" customFormat="1" ht="111.75" customHeight="1">
      <c r="A18" s="36">
        <v>7</v>
      </c>
      <c r="B18" s="11" t="s">
        <v>46</v>
      </c>
      <c r="C18" s="25" t="s">
        <v>31</v>
      </c>
      <c r="D18" s="25" t="s">
        <v>9</v>
      </c>
      <c r="E18" s="25" t="s">
        <v>13</v>
      </c>
      <c r="F18" s="25" t="s">
        <v>13</v>
      </c>
      <c r="G18" s="25" t="s">
        <v>13</v>
      </c>
      <c r="H18" s="25" t="s">
        <v>13</v>
      </c>
      <c r="I18" s="26">
        <f>J18+K18+L18+M18+N18</f>
        <v>11366468.99</v>
      </c>
      <c r="J18" s="26">
        <f>J19</f>
        <v>2083420.5500000003</v>
      </c>
      <c r="K18" s="26">
        <f>K19</f>
        <v>1607599.44</v>
      </c>
      <c r="L18" s="26">
        <f>L19</f>
        <v>3497095</v>
      </c>
      <c r="M18" s="30">
        <f>M19</f>
        <v>2089177</v>
      </c>
      <c r="N18" s="30">
        <f>N19</f>
        <v>2089177</v>
      </c>
      <c r="O18" s="28">
        <v>0</v>
      </c>
      <c r="P18" s="28">
        <v>0</v>
      </c>
      <c r="Q18" s="28">
        <v>0</v>
      </c>
    </row>
    <row r="19" spans="1:17" s="1" customFormat="1" ht="92.25" customHeight="1">
      <c r="A19" s="36">
        <v>8</v>
      </c>
      <c r="B19" s="11" t="s">
        <v>47</v>
      </c>
      <c r="C19" s="25" t="s">
        <v>31</v>
      </c>
      <c r="D19" s="25" t="s">
        <v>9</v>
      </c>
      <c r="E19" s="25" t="s">
        <v>13</v>
      </c>
      <c r="F19" s="25" t="s">
        <v>13</v>
      </c>
      <c r="G19" s="25" t="s">
        <v>13</v>
      </c>
      <c r="H19" s="25" t="s">
        <v>13</v>
      </c>
      <c r="I19" s="29">
        <f>J19+K19+L19+M19+N19</f>
        <v>11366468.99</v>
      </c>
      <c r="J19" s="26">
        <f>J21+J22+J23+J24</f>
        <v>2083420.5500000003</v>
      </c>
      <c r="K19" s="27">
        <f>K21+K22+K23+K24</f>
        <v>1607599.44</v>
      </c>
      <c r="L19" s="26">
        <f>L21+L22+L23+L24</f>
        <v>3497095</v>
      </c>
      <c r="M19" s="28">
        <f>M21+M22+M23+M24</f>
        <v>2089177</v>
      </c>
      <c r="N19" s="28">
        <f>N21+N22+N23+N24</f>
        <v>2089177</v>
      </c>
      <c r="O19" s="28">
        <v>0</v>
      </c>
      <c r="P19" s="28">
        <v>0</v>
      </c>
      <c r="Q19" s="28">
        <v>0</v>
      </c>
    </row>
    <row r="20" spans="1:17" s="1" customFormat="1" ht="37.5" customHeight="1">
      <c r="A20" s="78">
        <v>9</v>
      </c>
      <c r="B20" s="81" t="s">
        <v>33</v>
      </c>
      <c r="C20" s="25" t="s">
        <v>26</v>
      </c>
      <c r="D20" s="80"/>
      <c r="E20" s="80"/>
      <c r="F20" s="80"/>
      <c r="G20" s="80"/>
      <c r="H20" s="80"/>
      <c r="I20" s="80"/>
      <c r="J20" s="80"/>
      <c r="K20" s="80"/>
      <c r="L20" s="80"/>
      <c r="M20" s="12"/>
      <c r="N20" s="51"/>
      <c r="O20" s="28"/>
      <c r="P20" s="28"/>
      <c r="Q20" s="28"/>
    </row>
    <row r="21" spans="1:17" s="1" customFormat="1" ht="41.25" customHeight="1">
      <c r="A21" s="78"/>
      <c r="B21" s="81"/>
      <c r="C21" s="25" t="s">
        <v>23</v>
      </c>
      <c r="D21" s="25" t="s">
        <v>9</v>
      </c>
      <c r="E21" s="25" t="s">
        <v>13</v>
      </c>
      <c r="F21" s="25" t="s">
        <v>13</v>
      </c>
      <c r="G21" s="25" t="s">
        <v>13</v>
      </c>
      <c r="H21" s="25" t="s">
        <v>13</v>
      </c>
      <c r="I21" s="26">
        <f>J21+K21+L21+M21+N21</f>
        <v>4456705.96</v>
      </c>
      <c r="J21" s="26">
        <v>872845.87</v>
      </c>
      <c r="K21" s="21">
        <f>700652-4632.91</f>
        <v>696019.09</v>
      </c>
      <c r="L21" s="21">
        <f>734559+400000-100000</f>
        <v>1034559</v>
      </c>
      <c r="M21" s="56">
        <v>926641</v>
      </c>
      <c r="N21" s="30">
        <f>M21</f>
        <v>926641</v>
      </c>
      <c r="O21" s="28">
        <v>0</v>
      </c>
      <c r="P21" s="28">
        <v>0</v>
      </c>
      <c r="Q21" s="28">
        <v>0</v>
      </c>
    </row>
    <row r="22" spans="1:17" s="1" customFormat="1" ht="40.5" customHeight="1">
      <c r="A22" s="78"/>
      <c r="B22" s="81"/>
      <c r="C22" s="25" t="s">
        <v>21</v>
      </c>
      <c r="D22" s="25" t="s">
        <v>9</v>
      </c>
      <c r="E22" s="25" t="s">
        <v>13</v>
      </c>
      <c r="F22" s="25" t="s">
        <v>13</v>
      </c>
      <c r="G22" s="25" t="s">
        <v>13</v>
      </c>
      <c r="H22" s="25" t="s">
        <v>13</v>
      </c>
      <c r="I22" s="26">
        <f>J22+K22+L22+M22+N22</f>
        <v>3200000</v>
      </c>
      <c r="J22" s="26">
        <v>600000</v>
      </c>
      <c r="K22" s="57">
        <f>500000</f>
        <v>500000</v>
      </c>
      <c r="L22" s="21">
        <f>500000+600000</f>
        <v>1100000</v>
      </c>
      <c r="M22" s="56">
        <v>500000</v>
      </c>
      <c r="N22" s="30">
        <f>M22</f>
        <v>500000</v>
      </c>
      <c r="O22" s="28">
        <v>0</v>
      </c>
      <c r="P22" s="28">
        <v>0</v>
      </c>
      <c r="Q22" s="28">
        <v>0</v>
      </c>
    </row>
    <row r="23" spans="1:17" s="1" customFormat="1" ht="43.5" customHeight="1">
      <c r="A23" s="78"/>
      <c r="B23" s="81"/>
      <c r="C23" s="25" t="s">
        <v>22</v>
      </c>
      <c r="D23" s="25" t="s">
        <v>9</v>
      </c>
      <c r="E23" s="25" t="s">
        <v>13</v>
      </c>
      <c r="F23" s="25" t="s">
        <v>13</v>
      </c>
      <c r="G23" s="25" t="s">
        <v>13</v>
      </c>
      <c r="H23" s="25" t="s">
        <v>13</v>
      </c>
      <c r="I23" s="26">
        <f>J23+K23+L23+M23+N23</f>
        <v>2283264.92</v>
      </c>
      <c r="J23" s="26">
        <v>328022.57</v>
      </c>
      <c r="K23" s="21">
        <f>359536-82901-0.65</f>
        <v>276634.34999999998</v>
      </c>
      <c r="L23" s="21">
        <f>359536+600000</f>
        <v>959536</v>
      </c>
      <c r="M23" s="56">
        <v>359536</v>
      </c>
      <c r="N23" s="30">
        <f>M23</f>
        <v>359536</v>
      </c>
      <c r="O23" s="28">
        <v>0</v>
      </c>
      <c r="P23" s="28">
        <v>0</v>
      </c>
      <c r="Q23" s="28">
        <v>0</v>
      </c>
    </row>
    <row r="24" spans="1:17" s="1" customFormat="1" ht="45.75" customHeight="1">
      <c r="A24" s="78"/>
      <c r="B24" s="81"/>
      <c r="C24" s="25" t="s">
        <v>19</v>
      </c>
      <c r="D24" s="25" t="s">
        <v>9</v>
      </c>
      <c r="E24" s="25" t="s">
        <v>13</v>
      </c>
      <c r="F24" s="25" t="s">
        <v>13</v>
      </c>
      <c r="G24" s="25" t="s">
        <v>13</v>
      </c>
      <c r="H24" s="25" t="s">
        <v>13</v>
      </c>
      <c r="I24" s="26">
        <f>J24+K24+L24+M24+N24</f>
        <v>1426498.1099999999</v>
      </c>
      <c r="J24" s="26">
        <v>282552.11</v>
      </c>
      <c r="K24" s="57">
        <f>303000-168054</f>
        <v>134946</v>
      </c>
      <c r="L24" s="21">
        <f>303000+100000</f>
        <v>403000</v>
      </c>
      <c r="M24" s="56">
        <v>303000</v>
      </c>
      <c r="N24" s="30">
        <f>M24</f>
        <v>303000</v>
      </c>
      <c r="O24" s="28">
        <v>0</v>
      </c>
      <c r="P24" s="28">
        <v>0</v>
      </c>
      <c r="Q24" s="28">
        <v>0</v>
      </c>
    </row>
    <row r="25" spans="1:17" s="1" customFormat="1" ht="72" customHeight="1">
      <c r="A25" s="49">
        <v>10</v>
      </c>
      <c r="B25" s="62" t="s">
        <v>99</v>
      </c>
      <c r="C25" s="50" t="s">
        <v>87</v>
      </c>
      <c r="D25" s="50" t="s">
        <v>9</v>
      </c>
      <c r="E25" s="50" t="s">
        <v>13</v>
      </c>
      <c r="F25" s="50" t="s">
        <v>13</v>
      </c>
      <c r="G25" s="50" t="s">
        <v>13</v>
      </c>
      <c r="H25" s="50" t="s">
        <v>13</v>
      </c>
      <c r="I25" s="26">
        <f>SUM(J25:Q25)</f>
        <v>105790000</v>
      </c>
      <c r="J25" s="26">
        <v>0</v>
      </c>
      <c r="K25" s="57">
        <v>0</v>
      </c>
      <c r="L25" s="21">
        <f>7700000+300000+2460000</f>
        <v>10460000</v>
      </c>
      <c r="M25" s="56">
        <v>19720000</v>
      </c>
      <c r="N25" s="30">
        <v>19720000</v>
      </c>
      <c r="O25" s="28">
        <v>19720000</v>
      </c>
      <c r="P25" s="28">
        <v>19720000</v>
      </c>
      <c r="Q25" s="28">
        <v>16450000</v>
      </c>
    </row>
    <row r="26" spans="1:17" s="1" customFormat="1" ht="72" hidden="1" customHeight="1">
      <c r="A26" s="49">
        <v>11</v>
      </c>
      <c r="B26" s="62" t="s">
        <v>100</v>
      </c>
      <c r="C26" s="50" t="s">
        <v>87</v>
      </c>
      <c r="D26" s="50" t="s">
        <v>9</v>
      </c>
      <c r="E26" s="50" t="s">
        <v>13</v>
      </c>
      <c r="F26" s="50" t="s">
        <v>13</v>
      </c>
      <c r="G26" s="50" t="s">
        <v>13</v>
      </c>
      <c r="H26" s="50" t="s">
        <v>13</v>
      </c>
      <c r="I26" s="26">
        <f>SUM(J26:Q26)</f>
        <v>105790000</v>
      </c>
      <c r="J26" s="26">
        <v>0</v>
      </c>
      <c r="K26" s="57">
        <v>0</v>
      </c>
      <c r="L26" s="21">
        <f>7700000+300000+2460000</f>
        <v>10460000</v>
      </c>
      <c r="M26" s="56">
        <v>19720000</v>
      </c>
      <c r="N26" s="30">
        <v>19720000</v>
      </c>
      <c r="O26" s="28">
        <f>O25</f>
        <v>19720000</v>
      </c>
      <c r="P26" s="28">
        <f>P25</f>
        <v>19720000</v>
      </c>
      <c r="Q26" s="28">
        <f>Q25</f>
        <v>16450000</v>
      </c>
    </row>
    <row r="27" spans="1:17" s="1" customFormat="1" ht="112.5" customHeight="1">
      <c r="A27" s="78">
        <v>11</v>
      </c>
      <c r="B27" s="80" t="s">
        <v>88</v>
      </c>
      <c r="C27" s="81" t="s">
        <v>79</v>
      </c>
      <c r="D27" s="25" t="s">
        <v>9</v>
      </c>
      <c r="E27" s="25" t="s">
        <v>13</v>
      </c>
      <c r="F27" s="25" t="s">
        <v>13</v>
      </c>
      <c r="G27" s="25" t="s">
        <v>13</v>
      </c>
      <c r="H27" s="25" t="s">
        <v>13</v>
      </c>
      <c r="I27" s="26">
        <f>J27+K27+L27+M27+N27</f>
        <v>2106701230.8799996</v>
      </c>
      <c r="J27" s="26">
        <f>J37+J73</f>
        <v>372889129.33999997</v>
      </c>
      <c r="K27" s="27">
        <f>K37+K73</f>
        <v>424396537.21000004</v>
      </c>
      <c r="L27" s="26">
        <f>L37+L73</f>
        <v>458975717.54999995</v>
      </c>
      <c r="M27" s="28">
        <f>M37+M73</f>
        <v>425219923.38999999</v>
      </c>
      <c r="N27" s="28">
        <f>N37+N73</f>
        <v>425219923.38999999</v>
      </c>
      <c r="O27" s="28">
        <v>0</v>
      </c>
      <c r="P27" s="28">
        <v>0</v>
      </c>
      <c r="Q27" s="28">
        <v>0</v>
      </c>
    </row>
    <row r="28" spans="1:17" s="1" customFormat="1" ht="159" customHeight="1">
      <c r="A28" s="78"/>
      <c r="B28" s="80"/>
      <c r="C28" s="81"/>
      <c r="D28" s="25" t="s">
        <v>34</v>
      </c>
      <c r="E28" s="10" t="s">
        <v>13</v>
      </c>
      <c r="F28" s="10" t="s">
        <v>13</v>
      </c>
      <c r="G28" s="10" t="s">
        <v>13</v>
      </c>
      <c r="H28" s="10" t="s">
        <v>13</v>
      </c>
      <c r="I28" s="26">
        <f>J28+K28+L28+M28+N28</f>
        <v>25387174</v>
      </c>
      <c r="J28" s="30">
        <f>J55</f>
        <v>6205500</v>
      </c>
      <c r="K28" s="33">
        <f>K55</f>
        <v>5646328</v>
      </c>
      <c r="L28" s="30">
        <f>L55</f>
        <v>5993251</v>
      </c>
      <c r="M28" s="28">
        <f>M55</f>
        <v>3647705</v>
      </c>
      <c r="N28" s="28">
        <f>N55</f>
        <v>3894390</v>
      </c>
      <c r="O28" s="28">
        <v>0</v>
      </c>
      <c r="P28" s="28">
        <v>0</v>
      </c>
      <c r="Q28" s="28">
        <v>0</v>
      </c>
    </row>
    <row r="29" spans="1:17" s="1" customFormat="1" ht="34.5" customHeight="1">
      <c r="A29" s="78">
        <v>12</v>
      </c>
      <c r="B29" s="80" t="s">
        <v>89</v>
      </c>
      <c r="C29" s="81" t="s">
        <v>27</v>
      </c>
      <c r="D29" s="25" t="s">
        <v>65</v>
      </c>
      <c r="E29" s="10" t="s">
        <v>13</v>
      </c>
      <c r="F29" s="10" t="s">
        <v>13</v>
      </c>
      <c r="G29" s="10" t="s">
        <v>13</v>
      </c>
      <c r="H29" s="10" t="s">
        <v>13</v>
      </c>
      <c r="I29" s="30">
        <f>SUM(J29:M29)</f>
        <v>100438120</v>
      </c>
      <c r="J29" s="30">
        <v>0</v>
      </c>
      <c r="K29" s="33">
        <f>K88</f>
        <v>100438120</v>
      </c>
      <c r="L29" s="30">
        <v>0</v>
      </c>
      <c r="M29" s="28">
        <v>0</v>
      </c>
      <c r="N29" s="51">
        <v>0</v>
      </c>
      <c r="O29" s="28">
        <v>0</v>
      </c>
      <c r="P29" s="28">
        <v>0</v>
      </c>
      <c r="Q29" s="28">
        <v>0</v>
      </c>
    </row>
    <row r="30" spans="1:17" s="1" customFormat="1" ht="118.5" customHeight="1">
      <c r="A30" s="78"/>
      <c r="B30" s="80"/>
      <c r="C30" s="81"/>
      <c r="D30" s="25" t="s">
        <v>34</v>
      </c>
      <c r="E30" s="10" t="s">
        <v>13</v>
      </c>
      <c r="F30" s="10" t="s">
        <v>13</v>
      </c>
      <c r="G30" s="10" t="s">
        <v>13</v>
      </c>
      <c r="H30" s="10" t="s">
        <v>13</v>
      </c>
      <c r="I30" s="30">
        <f>SUM(J30:M30)</f>
        <v>39059268.890000001</v>
      </c>
      <c r="J30" s="30">
        <v>0</v>
      </c>
      <c r="K30" s="33">
        <f>K89</f>
        <v>39059268.890000001</v>
      </c>
      <c r="L30" s="30">
        <v>0</v>
      </c>
      <c r="M30" s="28">
        <v>0</v>
      </c>
      <c r="N30" s="51">
        <v>0</v>
      </c>
      <c r="O30" s="28">
        <v>0</v>
      </c>
      <c r="P30" s="28">
        <v>0</v>
      </c>
      <c r="Q30" s="28">
        <v>0</v>
      </c>
    </row>
    <row r="31" spans="1:17" s="1" customFormat="1" ht="54" customHeight="1">
      <c r="A31" s="78"/>
      <c r="B31" s="80"/>
      <c r="C31" s="81"/>
      <c r="D31" s="25" t="s">
        <v>9</v>
      </c>
      <c r="E31" s="10" t="s">
        <v>13</v>
      </c>
      <c r="F31" s="10" t="s">
        <v>13</v>
      </c>
      <c r="G31" s="10" t="s">
        <v>13</v>
      </c>
      <c r="H31" s="10" t="s">
        <v>13</v>
      </c>
      <c r="I31" s="30">
        <f>SUM(J31:M31)</f>
        <v>0</v>
      </c>
      <c r="J31" s="30">
        <v>0</v>
      </c>
      <c r="K31" s="33">
        <v>0</v>
      </c>
      <c r="L31" s="30">
        <v>0</v>
      </c>
      <c r="M31" s="28">
        <v>0</v>
      </c>
      <c r="N31" s="51">
        <v>0</v>
      </c>
      <c r="O31" s="28">
        <v>0</v>
      </c>
      <c r="P31" s="28">
        <v>0</v>
      </c>
      <c r="Q31" s="28">
        <v>0</v>
      </c>
    </row>
    <row r="32" spans="1:17" s="1" customFormat="1" ht="30" customHeight="1">
      <c r="A32" s="100" t="s">
        <v>15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</row>
    <row r="33" spans="1:17" s="1" customFormat="1" ht="17.25" hidden="1" customHeight="1">
      <c r="A33" s="65"/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12"/>
      <c r="N33" s="51"/>
      <c r="O33" s="28"/>
      <c r="P33" s="28"/>
      <c r="Q33" s="28"/>
    </row>
    <row r="34" spans="1:17" s="1" customFormat="1" ht="15" hidden="1" customHeight="1">
      <c r="A34" s="69"/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2"/>
      <c r="M34" s="12"/>
      <c r="N34" s="51"/>
      <c r="O34" s="28"/>
      <c r="P34" s="28"/>
      <c r="Q34" s="28"/>
    </row>
    <row r="35" spans="1:17" s="1" customFormat="1" ht="72" customHeight="1">
      <c r="A35" s="78">
        <v>13</v>
      </c>
      <c r="B35" s="80" t="s">
        <v>48</v>
      </c>
      <c r="C35" s="81" t="s">
        <v>80</v>
      </c>
      <c r="D35" s="25" t="s">
        <v>9</v>
      </c>
      <c r="E35" s="25" t="s">
        <v>13</v>
      </c>
      <c r="F35" s="25" t="s">
        <v>13</v>
      </c>
      <c r="G35" s="25" t="s">
        <v>13</v>
      </c>
      <c r="H35" s="25" t="s">
        <v>13</v>
      </c>
      <c r="I35" s="26">
        <f t="shared" ref="I35:I40" si="1">J35+K35+L35+M35+N35</f>
        <v>2106701230.8799996</v>
      </c>
      <c r="J35" s="26">
        <f>J37+J73</f>
        <v>372889129.33999997</v>
      </c>
      <c r="K35" s="27">
        <f>K37+K73</f>
        <v>424396537.21000004</v>
      </c>
      <c r="L35" s="26">
        <f>L37+L73</f>
        <v>458975717.54999995</v>
      </c>
      <c r="M35" s="28">
        <f>M37+M73</f>
        <v>425219923.38999999</v>
      </c>
      <c r="N35" s="28">
        <f>N37+N73</f>
        <v>425219923.38999999</v>
      </c>
      <c r="O35" s="28">
        <v>0</v>
      </c>
      <c r="P35" s="28">
        <v>0</v>
      </c>
      <c r="Q35" s="28">
        <v>0</v>
      </c>
    </row>
    <row r="36" spans="1:17" s="1" customFormat="1" ht="184.5" customHeight="1">
      <c r="A36" s="78"/>
      <c r="B36" s="80"/>
      <c r="C36" s="81"/>
      <c r="D36" s="25" t="s">
        <v>34</v>
      </c>
      <c r="E36" s="25" t="s">
        <v>13</v>
      </c>
      <c r="F36" s="25" t="s">
        <v>13</v>
      </c>
      <c r="G36" s="25" t="s">
        <v>13</v>
      </c>
      <c r="H36" s="25" t="s">
        <v>13</v>
      </c>
      <c r="I36" s="26">
        <f t="shared" si="1"/>
        <v>25387174</v>
      </c>
      <c r="J36" s="26">
        <f>J55</f>
        <v>6205500</v>
      </c>
      <c r="K36" s="27">
        <f>K55</f>
        <v>5646328</v>
      </c>
      <c r="L36" s="26">
        <f>L55</f>
        <v>5993251</v>
      </c>
      <c r="M36" s="28">
        <f>M55</f>
        <v>3647705</v>
      </c>
      <c r="N36" s="28">
        <f>N55</f>
        <v>3894390</v>
      </c>
      <c r="O36" s="28">
        <v>0</v>
      </c>
      <c r="P36" s="28">
        <v>0</v>
      </c>
      <c r="Q36" s="28">
        <v>0</v>
      </c>
    </row>
    <row r="37" spans="1:17" s="1" customFormat="1" ht="69" customHeight="1">
      <c r="A37" s="78">
        <v>14</v>
      </c>
      <c r="B37" s="80" t="s">
        <v>49</v>
      </c>
      <c r="C37" s="81" t="s">
        <v>82</v>
      </c>
      <c r="D37" s="25" t="s">
        <v>9</v>
      </c>
      <c r="E37" s="25" t="s">
        <v>13</v>
      </c>
      <c r="F37" s="25" t="s">
        <v>13</v>
      </c>
      <c r="G37" s="25" t="s">
        <v>13</v>
      </c>
      <c r="H37" s="25" t="s">
        <v>13</v>
      </c>
      <c r="I37" s="26">
        <f t="shared" si="1"/>
        <v>2104390802.8799996</v>
      </c>
      <c r="J37" s="26">
        <f>J39+J40+J46+J47+J48+J59+J60</f>
        <v>372383529.33999997</v>
      </c>
      <c r="K37" s="27">
        <f>K39+K40+K46+K47+K48+K59+K60+K61+K62+K63+K64</f>
        <v>423682368.21000004</v>
      </c>
      <c r="L37" s="26">
        <f>L39+L40+L46+L47+L48+L59+L60+L61+L62+L65</f>
        <v>458612164.54999995</v>
      </c>
      <c r="M37" s="26">
        <f>M39+M40+M46+M47+M48+M59+M60+M61+M65</f>
        <v>424856370.38999999</v>
      </c>
      <c r="N37" s="26">
        <f>N39+N40+N46+N47+N48+N59+N60+N61+N65</f>
        <v>424856370.38999999</v>
      </c>
      <c r="O37" s="28">
        <v>0</v>
      </c>
      <c r="P37" s="28">
        <v>0</v>
      </c>
      <c r="Q37" s="28">
        <v>0</v>
      </c>
    </row>
    <row r="38" spans="1:17" s="1" customFormat="1" ht="189.75" customHeight="1">
      <c r="A38" s="78"/>
      <c r="B38" s="80"/>
      <c r="C38" s="81"/>
      <c r="D38" s="25" t="s">
        <v>34</v>
      </c>
      <c r="E38" s="25" t="s">
        <v>13</v>
      </c>
      <c r="F38" s="25" t="s">
        <v>13</v>
      </c>
      <c r="G38" s="25" t="s">
        <v>13</v>
      </c>
      <c r="H38" s="25" t="s">
        <v>13</v>
      </c>
      <c r="I38" s="26">
        <f t="shared" si="1"/>
        <v>25387174</v>
      </c>
      <c r="J38" s="26">
        <f>J55</f>
        <v>6205500</v>
      </c>
      <c r="K38" s="27">
        <f>K55</f>
        <v>5646328</v>
      </c>
      <c r="L38" s="26">
        <f>L55</f>
        <v>5993251</v>
      </c>
      <c r="M38" s="28">
        <f>M55</f>
        <v>3647705</v>
      </c>
      <c r="N38" s="28">
        <f>N55</f>
        <v>3894390</v>
      </c>
      <c r="O38" s="28">
        <v>0</v>
      </c>
      <c r="P38" s="28">
        <v>0</v>
      </c>
      <c r="Q38" s="28">
        <v>0</v>
      </c>
    </row>
    <row r="39" spans="1:17" s="1" customFormat="1" ht="80.25" customHeight="1">
      <c r="A39" s="36">
        <v>15</v>
      </c>
      <c r="B39" s="25" t="s">
        <v>50</v>
      </c>
      <c r="C39" s="25" t="s">
        <v>27</v>
      </c>
      <c r="D39" s="54" t="s">
        <v>9</v>
      </c>
      <c r="E39" s="54" t="s">
        <v>13</v>
      </c>
      <c r="F39" s="54" t="s">
        <v>13</v>
      </c>
      <c r="G39" s="54" t="s">
        <v>13</v>
      </c>
      <c r="H39" s="54" t="s">
        <v>13</v>
      </c>
      <c r="I39" s="26">
        <f t="shared" si="1"/>
        <v>9565336.9600000009</v>
      </c>
      <c r="J39" s="26">
        <f>5116734.6-597090.8</f>
        <v>4519643.8</v>
      </c>
      <c r="K39" s="26">
        <f>1558210-750000-57020</f>
        <v>751190</v>
      </c>
      <c r="L39" s="26">
        <f>1558210-50000-330126.84</f>
        <v>1178083.1599999999</v>
      </c>
      <c r="M39" s="30">
        <v>1558210</v>
      </c>
      <c r="N39" s="30">
        <v>1558210</v>
      </c>
      <c r="O39" s="28">
        <v>0</v>
      </c>
      <c r="P39" s="28">
        <v>0</v>
      </c>
      <c r="Q39" s="28">
        <v>0</v>
      </c>
    </row>
    <row r="40" spans="1:17" s="1" customFormat="1" ht="78.75" customHeight="1">
      <c r="A40" s="78">
        <v>16</v>
      </c>
      <c r="B40" s="81" t="s">
        <v>51</v>
      </c>
      <c r="C40" s="25" t="s">
        <v>28</v>
      </c>
      <c r="D40" s="54" t="s">
        <v>9</v>
      </c>
      <c r="E40" s="54" t="s">
        <v>13</v>
      </c>
      <c r="F40" s="54" t="s">
        <v>13</v>
      </c>
      <c r="G40" s="54" t="s">
        <v>13</v>
      </c>
      <c r="H40" s="54" t="s">
        <v>13</v>
      </c>
      <c r="I40" s="26">
        <f t="shared" si="1"/>
        <v>30158587.190000005</v>
      </c>
      <c r="J40" s="26">
        <f>J42+J43+J44+J45</f>
        <v>8372406.8499999996</v>
      </c>
      <c r="K40" s="26">
        <f>K42+K43+K44+K45</f>
        <v>7098243.0200000005</v>
      </c>
      <c r="L40" s="26">
        <f>L42+L43+L44+L45</f>
        <v>6429312.4399999995</v>
      </c>
      <c r="M40" s="30">
        <f>M42+M43+M44+M45</f>
        <v>4129312.44</v>
      </c>
      <c r="N40" s="30">
        <f>N42+N43+N44+N45</f>
        <v>4129312.44</v>
      </c>
      <c r="O40" s="28">
        <v>0</v>
      </c>
      <c r="P40" s="28">
        <v>0</v>
      </c>
      <c r="Q40" s="28">
        <v>0</v>
      </c>
    </row>
    <row r="41" spans="1:17" s="1" customFormat="1" ht="21" customHeight="1">
      <c r="A41" s="78"/>
      <c r="B41" s="81"/>
      <c r="C41" s="25" t="s">
        <v>26</v>
      </c>
      <c r="D41" s="80"/>
      <c r="E41" s="80"/>
      <c r="F41" s="80"/>
      <c r="G41" s="80"/>
      <c r="H41" s="80"/>
      <c r="I41" s="80"/>
      <c r="J41" s="80"/>
      <c r="K41" s="80"/>
      <c r="L41" s="80"/>
      <c r="M41" s="10"/>
      <c r="N41" s="55"/>
      <c r="O41" s="28"/>
      <c r="P41" s="28"/>
      <c r="Q41" s="28"/>
    </row>
    <row r="42" spans="1:17" s="1" customFormat="1" ht="42.75" customHeight="1">
      <c r="A42" s="78"/>
      <c r="B42" s="81"/>
      <c r="C42" s="25" t="s">
        <v>19</v>
      </c>
      <c r="D42" s="54" t="s">
        <v>9</v>
      </c>
      <c r="E42" s="54" t="s">
        <v>13</v>
      </c>
      <c r="F42" s="54" t="s">
        <v>13</v>
      </c>
      <c r="G42" s="54" t="s">
        <v>13</v>
      </c>
      <c r="H42" s="54" t="s">
        <v>13</v>
      </c>
      <c r="I42" s="26">
        <f t="shared" ref="I42:I48" si="2">J42+K42+L42+M42+N42</f>
        <v>7082198.7300000004</v>
      </c>
      <c r="J42" s="26">
        <v>1924953.91</v>
      </c>
      <c r="K42" s="21">
        <f>1932600-260119.13-13036.05</f>
        <v>1659444.82</v>
      </c>
      <c r="L42" s="21">
        <f>1932600-1000000+300000+400000</f>
        <v>1632600</v>
      </c>
      <c r="M42" s="56">
        <f>1932600-1000000</f>
        <v>932600</v>
      </c>
      <c r="N42" s="30">
        <f>1932600-1000000</f>
        <v>932600</v>
      </c>
      <c r="O42" s="28">
        <v>0</v>
      </c>
      <c r="P42" s="28">
        <v>0</v>
      </c>
      <c r="Q42" s="28">
        <v>0</v>
      </c>
    </row>
    <row r="43" spans="1:17" s="1" customFormat="1" ht="42" customHeight="1">
      <c r="A43" s="78"/>
      <c r="B43" s="81"/>
      <c r="C43" s="25" t="s">
        <v>20</v>
      </c>
      <c r="D43" s="54" t="s">
        <v>9</v>
      </c>
      <c r="E43" s="54" t="s">
        <v>13</v>
      </c>
      <c r="F43" s="54" t="s">
        <v>13</v>
      </c>
      <c r="G43" s="54" t="s">
        <v>13</v>
      </c>
      <c r="H43" s="54" t="s">
        <v>13</v>
      </c>
      <c r="I43" s="26">
        <f t="shared" si="2"/>
        <v>9298715.5500000007</v>
      </c>
      <c r="J43" s="26">
        <v>2331361.5099999998</v>
      </c>
      <c r="K43" s="21">
        <f>2393405-6265.96</f>
        <v>2387139.04</v>
      </c>
      <c r="L43" s="21">
        <f>2393405-1000000+400000</f>
        <v>1793405</v>
      </c>
      <c r="M43" s="56">
        <f>2393405-1000000</f>
        <v>1393405</v>
      </c>
      <c r="N43" s="30">
        <f>2393405-1000000</f>
        <v>1393405</v>
      </c>
      <c r="O43" s="28">
        <v>0</v>
      </c>
      <c r="P43" s="28">
        <v>0</v>
      </c>
      <c r="Q43" s="28">
        <v>0</v>
      </c>
    </row>
    <row r="44" spans="1:17" s="1" customFormat="1" ht="38.25" customHeight="1">
      <c r="A44" s="78"/>
      <c r="B44" s="81"/>
      <c r="C44" s="25" t="s">
        <v>21</v>
      </c>
      <c r="D44" s="54" t="s">
        <v>9</v>
      </c>
      <c r="E44" s="54" t="s">
        <v>13</v>
      </c>
      <c r="F44" s="54" t="s">
        <v>13</v>
      </c>
      <c r="G44" s="54" t="s">
        <v>13</v>
      </c>
      <c r="H44" s="54" t="s">
        <v>13</v>
      </c>
      <c r="I44" s="26">
        <f t="shared" si="2"/>
        <v>5405112.9199999999</v>
      </c>
      <c r="J44" s="26">
        <v>1945731</v>
      </c>
      <c r="K44" s="21">
        <f>1700000-321922-18696.08</f>
        <v>1359381.92</v>
      </c>
      <c r="L44" s="21">
        <f>1700000-1200000+600000</f>
        <v>1100000</v>
      </c>
      <c r="M44" s="56">
        <f>1700000-1200000</f>
        <v>500000</v>
      </c>
      <c r="N44" s="30">
        <f>1700000-1200000</f>
        <v>500000</v>
      </c>
      <c r="O44" s="28">
        <v>0</v>
      </c>
      <c r="P44" s="28">
        <v>0</v>
      </c>
      <c r="Q44" s="28">
        <v>0</v>
      </c>
    </row>
    <row r="45" spans="1:17" s="1" customFormat="1" ht="38.25" customHeight="1">
      <c r="A45" s="78"/>
      <c r="B45" s="81"/>
      <c r="C45" s="25" t="s">
        <v>22</v>
      </c>
      <c r="D45" s="54" t="s">
        <v>9</v>
      </c>
      <c r="E45" s="54" t="s">
        <v>13</v>
      </c>
      <c r="F45" s="54" t="s">
        <v>13</v>
      </c>
      <c r="G45" s="54" t="s">
        <v>13</v>
      </c>
      <c r="H45" s="54" t="s">
        <v>13</v>
      </c>
      <c r="I45" s="26">
        <f t="shared" si="2"/>
        <v>8372559.9899999984</v>
      </c>
      <c r="J45" s="26">
        <v>2170360.4300000002</v>
      </c>
      <c r="K45" s="21">
        <f>2093747-401301-168.76</f>
        <v>1692277.24</v>
      </c>
      <c r="L45" s="21">
        <f>1698646-395338.56+600000</f>
        <v>1903307.44</v>
      </c>
      <c r="M45" s="56">
        <f>1698646-395338.56</f>
        <v>1303307.44</v>
      </c>
      <c r="N45" s="30">
        <f>1698646-395338.56</f>
        <v>1303307.44</v>
      </c>
      <c r="O45" s="28">
        <v>0</v>
      </c>
      <c r="P45" s="28">
        <v>0</v>
      </c>
      <c r="Q45" s="28">
        <v>0</v>
      </c>
    </row>
    <row r="46" spans="1:17" s="1" customFormat="1" ht="124.5" customHeight="1">
      <c r="A46" s="36">
        <v>17</v>
      </c>
      <c r="B46" s="63" t="s">
        <v>59</v>
      </c>
      <c r="C46" s="25" t="s">
        <v>39</v>
      </c>
      <c r="D46" s="54" t="s">
        <v>9</v>
      </c>
      <c r="E46" s="54" t="s">
        <v>13</v>
      </c>
      <c r="F46" s="54" t="s">
        <v>13</v>
      </c>
      <c r="G46" s="54" t="s">
        <v>13</v>
      </c>
      <c r="H46" s="54" t="s">
        <v>13</v>
      </c>
      <c r="I46" s="26">
        <f t="shared" si="2"/>
        <v>562959492.09000003</v>
      </c>
      <c r="J46" s="26">
        <f>99362389.41+5000000+2500000</f>
        <v>106862389.41</v>
      </c>
      <c r="K46" s="26">
        <f>97362389+9000000+4922806.3+2077193.7</f>
        <v>113362389</v>
      </c>
      <c r="L46" s="26">
        <f>109589566+3595338.56+180000+3000000</f>
        <v>116364904.56</v>
      </c>
      <c r="M46" s="30">
        <f>109589566+3595338.56</f>
        <v>113184904.56</v>
      </c>
      <c r="N46" s="30">
        <f>109589566+3595338.56</f>
        <v>113184904.56</v>
      </c>
      <c r="O46" s="28">
        <v>0</v>
      </c>
      <c r="P46" s="28">
        <v>0</v>
      </c>
      <c r="Q46" s="28">
        <v>0</v>
      </c>
    </row>
    <row r="47" spans="1:17" s="1" customFormat="1" ht="93.75" customHeight="1">
      <c r="A47" s="36">
        <v>18</v>
      </c>
      <c r="B47" s="25" t="s">
        <v>52</v>
      </c>
      <c r="C47" s="25" t="s">
        <v>29</v>
      </c>
      <c r="D47" s="25" t="s">
        <v>9</v>
      </c>
      <c r="E47" s="25" t="s">
        <v>13</v>
      </c>
      <c r="F47" s="25" t="s">
        <v>13</v>
      </c>
      <c r="G47" s="25" t="s">
        <v>13</v>
      </c>
      <c r="H47" s="25" t="s">
        <v>13</v>
      </c>
      <c r="I47" s="26">
        <f t="shared" si="2"/>
        <v>986829768.28999996</v>
      </c>
      <c r="J47" s="26">
        <f>177700000+4600000-1410059.59-1199940.4</f>
        <v>179690000.00999999</v>
      </c>
      <c r="K47" s="26">
        <f>190154874.28+159866.72+1500000+1840133.28</f>
        <v>193654874.28</v>
      </c>
      <c r="L47" s="26">
        <f>193014741+34440671</f>
        <v>227455412</v>
      </c>
      <c r="M47" s="30">
        <v>193014741</v>
      </c>
      <c r="N47" s="30">
        <v>193014741</v>
      </c>
      <c r="O47" s="28">
        <v>0</v>
      </c>
      <c r="P47" s="28">
        <v>0</v>
      </c>
      <c r="Q47" s="28">
        <v>0</v>
      </c>
    </row>
    <row r="48" spans="1:17" s="1" customFormat="1" ht="224.25" customHeight="1">
      <c r="A48" s="78">
        <v>19</v>
      </c>
      <c r="B48" s="79" t="s">
        <v>53</v>
      </c>
      <c r="C48" s="25" t="s">
        <v>81</v>
      </c>
      <c r="D48" s="25" t="s">
        <v>9</v>
      </c>
      <c r="E48" s="25" t="s">
        <v>13</v>
      </c>
      <c r="F48" s="25" t="s">
        <v>13</v>
      </c>
      <c r="G48" s="25" t="s">
        <v>13</v>
      </c>
      <c r="H48" s="25" t="s">
        <v>13</v>
      </c>
      <c r="I48" s="26">
        <f t="shared" si="2"/>
        <v>165299141.22999999</v>
      </c>
      <c r="J48" s="26">
        <f>J50+J51+J52+J54+J53</f>
        <v>44027696.36999999</v>
      </c>
      <c r="K48" s="27">
        <f>K50+K51+K52+K53+K54</f>
        <v>29521452.669999998</v>
      </c>
      <c r="L48" s="26">
        <f>L50+L51+L52+L53+L54</f>
        <v>32986830.73</v>
      </c>
      <c r="M48" s="28">
        <f>M50+M51+M52+M53+M54</f>
        <v>29381580.73</v>
      </c>
      <c r="N48" s="28">
        <f>N50+N51+N52+N53+N54</f>
        <v>29381580.73</v>
      </c>
      <c r="O48" s="28">
        <v>0</v>
      </c>
      <c r="P48" s="28">
        <v>0</v>
      </c>
      <c r="Q48" s="28">
        <v>0</v>
      </c>
    </row>
    <row r="49" spans="1:17" s="1" customFormat="1" ht="38.25" customHeight="1">
      <c r="A49" s="78"/>
      <c r="B49" s="79"/>
      <c r="C49" s="25" t="s">
        <v>26</v>
      </c>
      <c r="D49" s="25" t="s">
        <v>9</v>
      </c>
      <c r="E49" s="25" t="s">
        <v>13</v>
      </c>
      <c r="F49" s="25" t="s">
        <v>13</v>
      </c>
      <c r="G49" s="25" t="s">
        <v>13</v>
      </c>
      <c r="H49" s="25" t="s">
        <v>13</v>
      </c>
      <c r="I49" s="26"/>
      <c r="J49" s="26"/>
      <c r="K49" s="27"/>
      <c r="L49" s="26"/>
      <c r="M49" s="28"/>
      <c r="N49" s="51"/>
      <c r="O49" s="28"/>
      <c r="P49" s="28"/>
      <c r="Q49" s="28"/>
    </row>
    <row r="50" spans="1:17" s="1" customFormat="1" ht="52.95" customHeight="1">
      <c r="A50" s="78"/>
      <c r="B50" s="79"/>
      <c r="C50" s="25" t="s">
        <v>23</v>
      </c>
      <c r="D50" s="25" t="s">
        <v>9</v>
      </c>
      <c r="E50" s="25" t="s">
        <v>13</v>
      </c>
      <c r="F50" s="25" t="s">
        <v>13</v>
      </c>
      <c r="G50" s="25" t="s">
        <v>13</v>
      </c>
      <c r="H50" s="25" t="s">
        <v>13</v>
      </c>
      <c r="I50" s="26">
        <f t="shared" ref="I50:I55" si="3">J50+K50+L50+M50+N50</f>
        <v>1217200</v>
      </c>
      <c r="J50" s="26">
        <f>252000</f>
        <v>252000</v>
      </c>
      <c r="K50" s="21">
        <f>428400-229000-200</f>
        <v>199200</v>
      </c>
      <c r="L50" s="21">
        <f>222000+100000</f>
        <v>322000</v>
      </c>
      <c r="M50" s="56">
        <v>222000</v>
      </c>
      <c r="N50" s="30">
        <v>222000</v>
      </c>
      <c r="O50" s="28">
        <v>0</v>
      </c>
      <c r="P50" s="28">
        <v>0</v>
      </c>
      <c r="Q50" s="28">
        <v>0</v>
      </c>
    </row>
    <row r="51" spans="1:17" s="1" customFormat="1" ht="57" customHeight="1">
      <c r="A51" s="78"/>
      <c r="B51" s="79"/>
      <c r="C51" s="25" t="s">
        <v>21</v>
      </c>
      <c r="D51" s="25" t="s">
        <v>9</v>
      </c>
      <c r="E51" s="25" t="s">
        <v>13</v>
      </c>
      <c r="F51" s="25" t="s">
        <v>13</v>
      </c>
      <c r="G51" s="25" t="s">
        <v>13</v>
      </c>
      <c r="H51" s="25" t="s">
        <v>13</v>
      </c>
      <c r="I51" s="26">
        <f t="shared" si="3"/>
        <v>1533818</v>
      </c>
      <c r="J51" s="26">
        <f>239435+91000</f>
        <v>330435</v>
      </c>
      <c r="K51" s="21">
        <f>180073-833+70000-95857</f>
        <v>153383</v>
      </c>
      <c r="L51" s="21">
        <v>350000</v>
      </c>
      <c r="M51" s="56">
        <v>350000</v>
      </c>
      <c r="N51" s="30">
        <v>350000</v>
      </c>
      <c r="O51" s="28">
        <v>0</v>
      </c>
      <c r="P51" s="28">
        <v>0</v>
      </c>
      <c r="Q51" s="28">
        <v>0</v>
      </c>
    </row>
    <row r="52" spans="1:17" s="1" customFormat="1" ht="46.5" customHeight="1">
      <c r="A52" s="78"/>
      <c r="B52" s="79"/>
      <c r="C52" s="25" t="s">
        <v>22</v>
      </c>
      <c r="D52" s="25" t="s">
        <v>9</v>
      </c>
      <c r="E52" s="25" t="s">
        <v>13</v>
      </c>
      <c r="F52" s="25" t="s">
        <v>13</v>
      </c>
      <c r="G52" s="25" t="s">
        <v>13</v>
      </c>
      <c r="H52" s="25" t="s">
        <v>13</v>
      </c>
      <c r="I52" s="26">
        <f t="shared" si="3"/>
        <v>891150</v>
      </c>
      <c r="J52" s="26">
        <v>117300</v>
      </c>
      <c r="K52" s="21">
        <v>162400</v>
      </c>
      <c r="L52" s="21">
        <f>140200+190850</f>
        <v>331050</v>
      </c>
      <c r="M52" s="56">
        <v>140200</v>
      </c>
      <c r="N52" s="30">
        <v>140200</v>
      </c>
      <c r="O52" s="28">
        <v>0</v>
      </c>
      <c r="P52" s="28">
        <v>0</v>
      </c>
      <c r="Q52" s="28">
        <v>0</v>
      </c>
    </row>
    <row r="53" spans="1:17" s="1" customFormat="1" ht="46.5" customHeight="1">
      <c r="A53" s="78"/>
      <c r="B53" s="79"/>
      <c r="C53" s="25" t="s">
        <v>19</v>
      </c>
      <c r="D53" s="25" t="s">
        <v>9</v>
      </c>
      <c r="E53" s="25" t="s">
        <v>13</v>
      </c>
      <c r="F53" s="74" t="s">
        <v>13</v>
      </c>
      <c r="G53" s="25" t="s">
        <v>13</v>
      </c>
      <c r="H53" s="25" t="s">
        <v>13</v>
      </c>
      <c r="I53" s="26">
        <f t="shared" si="3"/>
        <v>28093.98</v>
      </c>
      <c r="J53" s="26">
        <v>28093.98</v>
      </c>
      <c r="K53" s="21">
        <v>0</v>
      </c>
      <c r="L53" s="21">
        <v>0</v>
      </c>
      <c r="M53" s="56">
        <v>0</v>
      </c>
      <c r="N53" s="30">
        <v>0</v>
      </c>
      <c r="O53" s="28">
        <v>0</v>
      </c>
      <c r="P53" s="28">
        <v>0</v>
      </c>
      <c r="Q53" s="28">
        <v>0</v>
      </c>
    </row>
    <row r="54" spans="1:17" s="1" customFormat="1" ht="106.5" customHeight="1">
      <c r="A54" s="78"/>
      <c r="B54" s="79"/>
      <c r="C54" s="25" t="s">
        <v>29</v>
      </c>
      <c r="D54" s="25" t="s">
        <v>9</v>
      </c>
      <c r="E54" s="25" t="s">
        <v>13</v>
      </c>
      <c r="F54" s="25" t="s">
        <v>13</v>
      </c>
      <c r="G54" s="25" t="s">
        <v>13</v>
      </c>
      <c r="H54" s="25" t="s">
        <v>13</v>
      </c>
      <c r="I54" s="26">
        <f t="shared" si="3"/>
        <v>161628879.25</v>
      </c>
      <c r="J54" s="26">
        <f>44781524.94+2000000-283209.85-30973-1336183.24-1831291.46</f>
        <v>43299867.389999993</v>
      </c>
      <c r="K54" s="26">
        <f>28057544+127133-4942.82+1100000-264563.84-8700.67</f>
        <v>29006469.669999998</v>
      </c>
      <c r="L54" s="26">
        <f>28184677+484703.73-2500000+2000000+3814400</f>
        <v>31983780.73</v>
      </c>
      <c r="M54" s="30">
        <f>28184677+484703.73</f>
        <v>28669380.73</v>
      </c>
      <c r="N54" s="30">
        <f>28184677+484703.73</f>
        <v>28669380.73</v>
      </c>
      <c r="O54" s="28">
        <v>0</v>
      </c>
      <c r="P54" s="28">
        <v>0</v>
      </c>
      <c r="Q54" s="28">
        <v>0</v>
      </c>
    </row>
    <row r="55" spans="1:17" s="1" customFormat="1" ht="106.5" customHeight="1">
      <c r="A55" s="78">
        <v>20</v>
      </c>
      <c r="B55" s="81" t="s">
        <v>54</v>
      </c>
      <c r="C55" s="25" t="s">
        <v>36</v>
      </c>
      <c r="D55" s="25" t="s">
        <v>34</v>
      </c>
      <c r="E55" s="25" t="s">
        <v>13</v>
      </c>
      <c r="F55" s="25" t="s">
        <v>13</v>
      </c>
      <c r="G55" s="25" t="s">
        <v>13</v>
      </c>
      <c r="H55" s="25" t="s">
        <v>13</v>
      </c>
      <c r="I55" s="26">
        <f t="shared" si="3"/>
        <v>25387174</v>
      </c>
      <c r="J55" s="26">
        <f>J57+J58</f>
        <v>6205500</v>
      </c>
      <c r="K55" s="27">
        <f>K57+K58</f>
        <v>5646328</v>
      </c>
      <c r="L55" s="26">
        <f>L57+L58</f>
        <v>5993251</v>
      </c>
      <c r="M55" s="28">
        <f>M57+M58</f>
        <v>3647705</v>
      </c>
      <c r="N55" s="28">
        <f>N58</f>
        <v>3894390</v>
      </c>
      <c r="O55" s="28">
        <v>0</v>
      </c>
      <c r="P55" s="28">
        <v>0</v>
      </c>
      <c r="Q55" s="28">
        <v>0</v>
      </c>
    </row>
    <row r="56" spans="1:17" s="1" customFormat="1" ht="38.25" customHeight="1">
      <c r="A56" s="78"/>
      <c r="B56" s="81"/>
      <c r="C56" s="25" t="s">
        <v>26</v>
      </c>
      <c r="D56" s="81"/>
      <c r="E56" s="81"/>
      <c r="F56" s="81"/>
      <c r="G56" s="81"/>
      <c r="H56" s="81"/>
      <c r="I56" s="81"/>
      <c r="J56" s="81"/>
      <c r="K56" s="81"/>
      <c r="L56" s="81"/>
      <c r="M56" s="12"/>
      <c r="N56" s="51"/>
      <c r="O56" s="28"/>
      <c r="P56" s="28"/>
      <c r="Q56" s="28"/>
    </row>
    <row r="57" spans="1:17" s="1" customFormat="1" ht="85.95" customHeight="1">
      <c r="A57" s="78"/>
      <c r="B57" s="81"/>
      <c r="C57" s="25" t="s">
        <v>37</v>
      </c>
      <c r="D57" s="25" t="s">
        <v>34</v>
      </c>
      <c r="E57" s="25" t="s">
        <v>13</v>
      </c>
      <c r="F57" s="25" t="s">
        <v>13</v>
      </c>
      <c r="G57" s="25" t="s">
        <v>13</v>
      </c>
      <c r="H57" s="25" t="s">
        <v>13</v>
      </c>
      <c r="I57" s="26">
        <f t="shared" ref="I57:I62" si="4">J57+K57+L57+M57+N57</f>
        <v>445598.97</v>
      </c>
      <c r="J57" s="26">
        <f>1001346-555747.03</f>
        <v>445598.97</v>
      </c>
      <c r="K57" s="27">
        <v>0</v>
      </c>
      <c r="L57" s="26">
        <v>0</v>
      </c>
      <c r="M57" s="28">
        <v>0</v>
      </c>
      <c r="N57" s="24">
        <v>0</v>
      </c>
      <c r="O57" s="28">
        <v>0</v>
      </c>
      <c r="P57" s="28">
        <v>0</v>
      </c>
      <c r="Q57" s="28">
        <v>0</v>
      </c>
    </row>
    <row r="58" spans="1:17" s="1" customFormat="1" ht="42.75" customHeight="1">
      <c r="A58" s="78"/>
      <c r="B58" s="81"/>
      <c r="C58" s="25" t="s">
        <v>38</v>
      </c>
      <c r="D58" s="25" t="s">
        <v>34</v>
      </c>
      <c r="E58" s="25" t="s">
        <v>13</v>
      </c>
      <c r="F58" s="25" t="s">
        <v>13</v>
      </c>
      <c r="G58" s="25" t="s">
        <v>13</v>
      </c>
      <c r="H58" s="25" t="s">
        <v>13</v>
      </c>
      <c r="I58" s="26">
        <f>J58+K58+L58+M58+N58</f>
        <v>24941575.030000001</v>
      </c>
      <c r="J58" s="26">
        <f>5204154+555747.03</f>
        <v>5759901.0300000003</v>
      </c>
      <c r="K58" s="26">
        <f>5646400-72</f>
        <v>5646328</v>
      </c>
      <c r="L58" s="26">
        <v>5993251</v>
      </c>
      <c r="M58" s="30">
        <v>3647705</v>
      </c>
      <c r="N58" s="30">
        <v>3894390</v>
      </c>
      <c r="O58" s="28">
        <v>0</v>
      </c>
      <c r="P58" s="28">
        <v>0</v>
      </c>
      <c r="Q58" s="28">
        <v>0</v>
      </c>
    </row>
    <row r="59" spans="1:17" s="1" customFormat="1" ht="125.4" customHeight="1">
      <c r="A59" s="36">
        <v>21</v>
      </c>
      <c r="B59" s="64" t="s">
        <v>55</v>
      </c>
      <c r="C59" s="25" t="s">
        <v>35</v>
      </c>
      <c r="D59" s="25" t="s">
        <v>9</v>
      </c>
      <c r="E59" s="25" t="s">
        <v>13</v>
      </c>
      <c r="F59" s="25" t="s">
        <v>13</v>
      </c>
      <c r="G59" s="25" t="s">
        <v>13</v>
      </c>
      <c r="H59" s="25" t="s">
        <v>13</v>
      </c>
      <c r="I59" s="26">
        <f t="shared" si="4"/>
        <v>174716625.03999999</v>
      </c>
      <c r="J59" s="26">
        <f>23483723.03+1410059.59+531231.86+1468768.14</f>
        <v>26893782.620000001</v>
      </c>
      <c r="K59" s="26">
        <f>37483723+1162254.44</f>
        <v>38645977.439999998</v>
      </c>
      <c r="L59" s="26">
        <f>38225621.66+2000000-2460000+19000000</f>
        <v>56765621.659999996</v>
      </c>
      <c r="M59" s="30">
        <f>38225621.66-12020000</f>
        <v>26205621.659999996</v>
      </c>
      <c r="N59" s="30">
        <f>38225621.66-12020000</f>
        <v>26205621.659999996</v>
      </c>
      <c r="O59" s="28">
        <v>0</v>
      </c>
      <c r="P59" s="28">
        <v>0</v>
      </c>
      <c r="Q59" s="28">
        <v>0</v>
      </c>
    </row>
    <row r="60" spans="1:17" s="1" customFormat="1" ht="144" customHeight="1">
      <c r="A60" s="36">
        <v>22</v>
      </c>
      <c r="B60" s="11" t="s">
        <v>56</v>
      </c>
      <c r="C60" s="25" t="s">
        <v>63</v>
      </c>
      <c r="D60" s="25" t="s">
        <v>9</v>
      </c>
      <c r="E60" s="25" t="s">
        <v>13</v>
      </c>
      <c r="F60" s="25" t="s">
        <v>13</v>
      </c>
      <c r="G60" s="25" t="s">
        <v>13</v>
      </c>
      <c r="H60" s="25" t="s">
        <v>13</v>
      </c>
      <c r="I60" s="26">
        <f>J60+K60+L60+M60+N60</f>
        <v>8062610.2800000003</v>
      </c>
      <c r="J60" s="26">
        <f>3000000-982389.72</f>
        <v>2017610.28</v>
      </c>
      <c r="K60" s="26">
        <v>45000</v>
      </c>
      <c r="L60" s="26">
        <v>2000000</v>
      </c>
      <c r="M60" s="30">
        <v>2000000</v>
      </c>
      <c r="N60" s="30">
        <v>2000000</v>
      </c>
      <c r="O60" s="28">
        <v>0</v>
      </c>
      <c r="P60" s="28">
        <v>0</v>
      </c>
      <c r="Q60" s="28">
        <v>0</v>
      </c>
    </row>
    <row r="61" spans="1:17" s="1" customFormat="1" ht="126.6" customHeight="1">
      <c r="A61" s="40">
        <v>23</v>
      </c>
      <c r="B61" s="42" t="s">
        <v>75</v>
      </c>
      <c r="C61" s="39" t="s">
        <v>37</v>
      </c>
      <c r="D61" s="41" t="s">
        <v>9</v>
      </c>
      <c r="E61" s="25" t="s">
        <v>13</v>
      </c>
      <c r="F61" s="25" t="s">
        <v>13</v>
      </c>
      <c r="G61" s="25" t="s">
        <v>13</v>
      </c>
      <c r="H61" s="25" t="s">
        <v>13</v>
      </c>
      <c r="I61" s="26">
        <f t="shared" si="4"/>
        <v>120053241.8</v>
      </c>
      <c r="J61" s="26">
        <v>0</v>
      </c>
      <c r="K61" s="26">
        <f>43246500-2722696.6-470561.6</f>
        <v>40053241.799999997</v>
      </c>
      <c r="L61" s="26">
        <v>0</v>
      </c>
      <c r="M61" s="30">
        <v>40000000</v>
      </c>
      <c r="N61" s="30">
        <v>40000000</v>
      </c>
      <c r="O61" s="28">
        <v>0</v>
      </c>
      <c r="P61" s="28">
        <v>0</v>
      </c>
      <c r="Q61" s="28">
        <v>0</v>
      </c>
    </row>
    <row r="62" spans="1:17" s="1" customFormat="1" ht="120.75" customHeight="1">
      <c r="A62" s="37">
        <v>24</v>
      </c>
      <c r="B62" s="38" t="s">
        <v>97</v>
      </c>
      <c r="C62" s="35" t="s">
        <v>77</v>
      </c>
      <c r="D62" s="25" t="s">
        <v>9</v>
      </c>
      <c r="E62" s="25" t="s">
        <v>13</v>
      </c>
      <c r="F62" s="25" t="s">
        <v>13</v>
      </c>
      <c r="G62" s="25" t="s">
        <v>13</v>
      </c>
      <c r="H62" s="25" t="s">
        <v>13</v>
      </c>
      <c r="I62" s="26">
        <f t="shared" si="4"/>
        <v>100000</v>
      </c>
      <c r="J62" s="26">
        <v>0</v>
      </c>
      <c r="K62" s="26">
        <v>50000</v>
      </c>
      <c r="L62" s="26">
        <v>50000</v>
      </c>
      <c r="M62" s="30">
        <v>0</v>
      </c>
      <c r="N62" s="30">
        <v>0</v>
      </c>
      <c r="O62" s="28">
        <v>0</v>
      </c>
      <c r="P62" s="28">
        <v>0</v>
      </c>
      <c r="Q62" s="28">
        <v>0</v>
      </c>
    </row>
    <row r="63" spans="1:17" s="1" customFormat="1" ht="1.5" hidden="1" customHeight="1">
      <c r="A63" s="44"/>
      <c r="B63" s="38" t="s">
        <v>76</v>
      </c>
      <c r="C63" s="35" t="s">
        <v>84</v>
      </c>
      <c r="D63" s="43" t="s">
        <v>9</v>
      </c>
      <c r="E63" s="43" t="s">
        <v>13</v>
      </c>
      <c r="F63" s="43" t="s">
        <v>13</v>
      </c>
      <c r="G63" s="43" t="s">
        <v>13</v>
      </c>
      <c r="H63" s="43" t="s">
        <v>13</v>
      </c>
      <c r="I63" s="26" t="e">
        <f>J63+K63+L63+M63+#REF!</f>
        <v>#REF!</v>
      </c>
      <c r="J63" s="26">
        <v>0</v>
      </c>
      <c r="K63" s="26">
        <v>0</v>
      </c>
      <c r="L63" s="26">
        <v>0</v>
      </c>
      <c r="M63" s="30">
        <v>0</v>
      </c>
      <c r="N63" s="55"/>
      <c r="O63" s="28"/>
      <c r="P63" s="28"/>
      <c r="Q63" s="28"/>
    </row>
    <row r="64" spans="1:17" s="1" customFormat="1" ht="126.75" customHeight="1">
      <c r="A64" s="48">
        <v>25</v>
      </c>
      <c r="B64" s="38" t="s">
        <v>85</v>
      </c>
      <c r="C64" s="35" t="s">
        <v>83</v>
      </c>
      <c r="D64" s="47" t="s">
        <v>9</v>
      </c>
      <c r="E64" s="47" t="s">
        <v>13</v>
      </c>
      <c r="F64" s="47" t="s">
        <v>13</v>
      </c>
      <c r="G64" s="47" t="s">
        <v>13</v>
      </c>
      <c r="H64" s="47" t="s">
        <v>13</v>
      </c>
      <c r="I64" s="26">
        <f t="shared" ref="I64:I77" si="5">J64+K64+L64+M64+N64</f>
        <v>500000</v>
      </c>
      <c r="J64" s="26">
        <v>0</v>
      </c>
      <c r="K64" s="26">
        <v>500000</v>
      </c>
      <c r="L64" s="26">
        <v>0</v>
      </c>
      <c r="M64" s="30">
        <v>0</v>
      </c>
      <c r="N64" s="55">
        <v>0</v>
      </c>
      <c r="O64" s="28">
        <v>0</v>
      </c>
      <c r="P64" s="28">
        <v>0</v>
      </c>
      <c r="Q64" s="28">
        <v>0</v>
      </c>
    </row>
    <row r="65" spans="1:17" s="1" customFormat="1" ht="33" customHeight="1">
      <c r="A65" s="106">
        <v>26</v>
      </c>
      <c r="B65" s="109" t="s">
        <v>95</v>
      </c>
      <c r="C65" s="35" t="s">
        <v>90</v>
      </c>
      <c r="D65" s="103" t="s">
        <v>9</v>
      </c>
      <c r="E65" s="59" t="s">
        <v>13</v>
      </c>
      <c r="F65" s="59" t="s">
        <v>13</v>
      </c>
      <c r="G65" s="59" t="s">
        <v>13</v>
      </c>
      <c r="H65" s="59" t="s">
        <v>13</v>
      </c>
      <c r="I65" s="26">
        <f>J65+K65+L65+M65+N65</f>
        <v>46146000</v>
      </c>
      <c r="J65" s="26">
        <v>0</v>
      </c>
      <c r="K65" s="26">
        <v>0</v>
      </c>
      <c r="L65" s="26">
        <f>SUM(L66:L70)</f>
        <v>15382000</v>
      </c>
      <c r="M65" s="30">
        <f>SUM(M66:M70)</f>
        <v>15382000</v>
      </c>
      <c r="N65" s="30">
        <f>SUM(N66:N70)</f>
        <v>15382000</v>
      </c>
      <c r="O65" s="28">
        <v>0</v>
      </c>
      <c r="P65" s="28">
        <v>0</v>
      </c>
      <c r="Q65" s="28">
        <v>0</v>
      </c>
    </row>
    <row r="66" spans="1:17" s="1" customFormat="1" ht="33" customHeight="1">
      <c r="A66" s="107"/>
      <c r="B66" s="110"/>
      <c r="C66" s="35" t="s">
        <v>91</v>
      </c>
      <c r="D66" s="104"/>
      <c r="E66" s="60" t="s">
        <v>13</v>
      </c>
      <c r="F66" s="60" t="s">
        <v>13</v>
      </c>
      <c r="G66" s="60" t="s">
        <v>13</v>
      </c>
      <c r="H66" s="60" t="s">
        <v>13</v>
      </c>
      <c r="I66" s="26">
        <f t="shared" si="5"/>
        <v>8446000</v>
      </c>
      <c r="J66" s="26">
        <v>0</v>
      </c>
      <c r="K66" s="26">
        <v>0</v>
      </c>
      <c r="L66" s="26">
        <f>3178000-208000</f>
        <v>2970000</v>
      </c>
      <c r="M66" s="30">
        <v>2738000</v>
      </c>
      <c r="N66" s="30">
        <v>2738000</v>
      </c>
      <c r="O66" s="28">
        <v>0</v>
      </c>
      <c r="P66" s="28">
        <v>0</v>
      </c>
      <c r="Q66" s="28">
        <v>0</v>
      </c>
    </row>
    <row r="67" spans="1:17" s="1" customFormat="1" ht="33" customHeight="1">
      <c r="A67" s="107"/>
      <c r="B67" s="110"/>
      <c r="C67" s="35" t="s">
        <v>92</v>
      </c>
      <c r="D67" s="104"/>
      <c r="E67" s="60" t="s">
        <v>13</v>
      </c>
      <c r="F67" s="60" t="s">
        <v>13</v>
      </c>
      <c r="G67" s="60" t="s">
        <v>13</v>
      </c>
      <c r="H67" s="60" t="s">
        <v>13</v>
      </c>
      <c r="I67" s="26">
        <f t="shared" si="5"/>
        <v>19970000</v>
      </c>
      <c r="J67" s="26">
        <v>0</v>
      </c>
      <c r="K67" s="26">
        <v>0</v>
      </c>
      <c r="L67" s="26">
        <f>6850000-980000</f>
        <v>5870000</v>
      </c>
      <c r="M67" s="30">
        <v>7050000</v>
      </c>
      <c r="N67" s="30">
        <v>7050000</v>
      </c>
      <c r="O67" s="28">
        <v>0</v>
      </c>
      <c r="P67" s="28">
        <v>0</v>
      </c>
      <c r="Q67" s="28">
        <v>0</v>
      </c>
    </row>
    <row r="68" spans="1:17" s="1" customFormat="1" ht="33" customHeight="1">
      <c r="A68" s="107"/>
      <c r="B68" s="110"/>
      <c r="C68" s="35" t="s">
        <v>93</v>
      </c>
      <c r="D68" s="104"/>
      <c r="E68" s="60" t="s">
        <v>13</v>
      </c>
      <c r="F68" s="60" t="s">
        <v>13</v>
      </c>
      <c r="G68" s="60" t="s">
        <v>13</v>
      </c>
      <c r="H68" s="60" t="s">
        <v>13</v>
      </c>
      <c r="I68" s="26">
        <f t="shared" si="5"/>
        <v>9920000</v>
      </c>
      <c r="J68" s="26">
        <v>0</v>
      </c>
      <c r="K68" s="26">
        <v>0</v>
      </c>
      <c r="L68" s="26">
        <f>3370000-390000</f>
        <v>2980000</v>
      </c>
      <c r="M68" s="30">
        <v>3470000</v>
      </c>
      <c r="N68" s="30">
        <v>3470000</v>
      </c>
      <c r="O68" s="28">
        <v>0</v>
      </c>
      <c r="P68" s="28">
        <v>0</v>
      </c>
      <c r="Q68" s="28">
        <v>0</v>
      </c>
    </row>
    <row r="69" spans="1:17" s="1" customFormat="1" ht="33" customHeight="1">
      <c r="A69" s="107"/>
      <c r="B69" s="110"/>
      <c r="C69" s="35" t="s">
        <v>94</v>
      </c>
      <c r="D69" s="104"/>
      <c r="E69" s="60" t="s">
        <v>13</v>
      </c>
      <c r="F69" s="60" t="s">
        <v>13</v>
      </c>
      <c r="G69" s="60" t="s">
        <v>13</v>
      </c>
      <c r="H69" s="60" t="s">
        <v>13</v>
      </c>
      <c r="I69" s="26">
        <f t="shared" si="5"/>
        <v>6132000</v>
      </c>
      <c r="J69" s="26">
        <v>0</v>
      </c>
      <c r="K69" s="26">
        <v>0</v>
      </c>
      <c r="L69" s="26">
        <f>1984000-100000</f>
        <v>1884000</v>
      </c>
      <c r="M69" s="30">
        <v>2124000</v>
      </c>
      <c r="N69" s="30">
        <v>2124000</v>
      </c>
      <c r="O69" s="28">
        <v>0</v>
      </c>
      <c r="P69" s="28">
        <v>0</v>
      </c>
      <c r="Q69" s="28">
        <v>0</v>
      </c>
    </row>
    <row r="70" spans="1:17" s="1" customFormat="1" ht="79.8" customHeight="1">
      <c r="A70" s="108"/>
      <c r="B70" s="111"/>
      <c r="C70" s="35" t="s">
        <v>104</v>
      </c>
      <c r="D70" s="105"/>
      <c r="E70" s="73" t="s">
        <v>13</v>
      </c>
      <c r="F70" s="73" t="s">
        <v>13</v>
      </c>
      <c r="G70" s="73" t="s">
        <v>13</v>
      </c>
      <c r="H70" s="73" t="s">
        <v>105</v>
      </c>
      <c r="I70" s="26">
        <f t="shared" si="5"/>
        <v>1678000</v>
      </c>
      <c r="J70" s="26">
        <v>0</v>
      </c>
      <c r="K70" s="26">
        <v>0</v>
      </c>
      <c r="L70" s="26">
        <f>980000+100000+208000+390000</f>
        <v>1678000</v>
      </c>
      <c r="M70" s="30">
        <v>0</v>
      </c>
      <c r="N70" s="30">
        <v>0</v>
      </c>
      <c r="O70" s="28">
        <v>0</v>
      </c>
      <c r="P70" s="28">
        <v>0</v>
      </c>
      <c r="Q70" s="28">
        <v>0</v>
      </c>
    </row>
    <row r="71" spans="1:17" s="1" customFormat="1" ht="42.75" customHeight="1">
      <c r="A71" s="78">
        <v>27</v>
      </c>
      <c r="B71" s="80" t="s">
        <v>32</v>
      </c>
      <c r="C71" s="81"/>
      <c r="D71" s="25" t="s">
        <v>9</v>
      </c>
      <c r="E71" s="25" t="s">
        <v>13</v>
      </c>
      <c r="F71" s="25" t="s">
        <v>13</v>
      </c>
      <c r="G71" s="25" t="s">
        <v>13</v>
      </c>
      <c r="H71" s="25" t="s">
        <v>13</v>
      </c>
      <c r="I71" s="26">
        <f>J71+K71+L71+M71+N71</f>
        <v>2104390802.8799996</v>
      </c>
      <c r="J71" s="26">
        <f>J39+J40+J46+J47+J48+J59+J60+J61+J62</f>
        <v>372383529.33999997</v>
      </c>
      <c r="K71" s="26">
        <f>K39+K40+K46+K47+K48+K59+K60+K61+K62+K64</f>
        <v>423682368.21000004</v>
      </c>
      <c r="L71" s="26">
        <f>L39+L40+L46+L47+L48+L59+L60+L61+L62+L65</f>
        <v>458612164.54999995</v>
      </c>
      <c r="M71" s="26">
        <f>M39+M40+M46+M47+M48+M59+M60+M61+M62+M65</f>
        <v>424856370.38999999</v>
      </c>
      <c r="N71" s="26">
        <f>N39+N40+N46+N47+N48+N59+N60+N61+N62+N65</f>
        <v>424856370.38999999</v>
      </c>
      <c r="O71" s="28">
        <v>0</v>
      </c>
      <c r="P71" s="28">
        <v>0</v>
      </c>
      <c r="Q71" s="28">
        <v>0</v>
      </c>
    </row>
    <row r="72" spans="1:17" s="1" customFormat="1" ht="99.75" customHeight="1">
      <c r="A72" s="78"/>
      <c r="B72" s="80"/>
      <c r="C72" s="81"/>
      <c r="D72" s="25" t="s">
        <v>34</v>
      </c>
      <c r="E72" s="25" t="s">
        <v>13</v>
      </c>
      <c r="F72" s="25" t="s">
        <v>13</v>
      </c>
      <c r="G72" s="25" t="s">
        <v>13</v>
      </c>
      <c r="H72" s="25" t="s">
        <v>13</v>
      </c>
      <c r="I72" s="26">
        <f>J72+K72+L72+M72+N72</f>
        <v>25387174</v>
      </c>
      <c r="J72" s="26">
        <v>6205500</v>
      </c>
      <c r="K72" s="26">
        <f>K55</f>
        <v>5646328</v>
      </c>
      <c r="L72" s="26">
        <f>L55</f>
        <v>5993251</v>
      </c>
      <c r="M72" s="30">
        <f>M55</f>
        <v>3647705</v>
      </c>
      <c r="N72" s="30">
        <f>N55</f>
        <v>3894390</v>
      </c>
      <c r="O72" s="28">
        <v>0</v>
      </c>
      <c r="P72" s="28">
        <v>0</v>
      </c>
      <c r="Q72" s="28">
        <v>0</v>
      </c>
    </row>
    <row r="73" spans="1:17" s="1" customFormat="1" ht="67.5" customHeight="1">
      <c r="A73" s="78">
        <v>28</v>
      </c>
      <c r="B73" s="80" t="s">
        <v>57</v>
      </c>
      <c r="C73" s="25" t="s">
        <v>60</v>
      </c>
      <c r="D73" s="25" t="s">
        <v>9</v>
      </c>
      <c r="E73" s="25" t="s">
        <v>13</v>
      </c>
      <c r="F73" s="25" t="s">
        <v>13</v>
      </c>
      <c r="G73" s="25" t="s">
        <v>13</v>
      </c>
      <c r="H73" s="25" t="s">
        <v>13</v>
      </c>
      <c r="I73" s="26">
        <f t="shared" si="5"/>
        <v>2310428</v>
      </c>
      <c r="J73" s="26">
        <f>J74+J75+J76</f>
        <v>505600</v>
      </c>
      <c r="K73" s="26">
        <f>K74+K75+K76</f>
        <v>714169</v>
      </c>
      <c r="L73" s="26">
        <f>L74+L75+L76</f>
        <v>363553</v>
      </c>
      <c r="M73" s="30">
        <f>M74+M76+M75</f>
        <v>363553</v>
      </c>
      <c r="N73" s="30">
        <f>N74+N76+N75</f>
        <v>363553</v>
      </c>
      <c r="O73" s="28">
        <v>0</v>
      </c>
      <c r="P73" s="28">
        <v>0</v>
      </c>
      <c r="Q73" s="28">
        <v>0</v>
      </c>
    </row>
    <row r="74" spans="1:17" s="1" customFormat="1" ht="44.25" customHeight="1">
      <c r="A74" s="78"/>
      <c r="B74" s="80"/>
      <c r="C74" s="25" t="s">
        <v>21</v>
      </c>
      <c r="D74" s="25" t="s">
        <v>9</v>
      </c>
      <c r="E74" s="25" t="s">
        <v>13</v>
      </c>
      <c r="F74" s="25" t="s">
        <v>13</v>
      </c>
      <c r="G74" s="25" t="s">
        <v>13</v>
      </c>
      <c r="H74" s="25" t="s">
        <v>13</v>
      </c>
      <c r="I74" s="26">
        <f t="shared" si="5"/>
        <v>480219</v>
      </c>
      <c r="J74" s="26">
        <f t="shared" ref="J74:N76" si="6">J79</f>
        <v>52000</v>
      </c>
      <c r="K74" s="21">
        <f t="shared" si="6"/>
        <v>182000</v>
      </c>
      <c r="L74" s="21">
        <f t="shared" si="6"/>
        <v>82073</v>
      </c>
      <c r="M74" s="56">
        <f t="shared" si="6"/>
        <v>82073</v>
      </c>
      <c r="N74" s="56">
        <f t="shared" si="6"/>
        <v>82073</v>
      </c>
      <c r="O74" s="28">
        <v>0</v>
      </c>
      <c r="P74" s="28">
        <v>0</v>
      </c>
      <c r="Q74" s="28">
        <v>0</v>
      </c>
    </row>
    <row r="75" spans="1:17" s="1" customFormat="1" ht="37.5" customHeight="1">
      <c r="A75" s="78"/>
      <c r="B75" s="80"/>
      <c r="C75" s="25" t="s">
        <v>19</v>
      </c>
      <c r="D75" s="25" t="s">
        <v>9</v>
      </c>
      <c r="E75" s="25" t="s">
        <v>13</v>
      </c>
      <c r="F75" s="25" t="s">
        <v>13</v>
      </c>
      <c r="G75" s="25" t="s">
        <v>13</v>
      </c>
      <c r="H75" s="25" t="s">
        <v>13</v>
      </c>
      <c r="I75" s="26">
        <f t="shared" si="5"/>
        <v>1098109</v>
      </c>
      <c r="J75" s="26">
        <f t="shared" si="6"/>
        <v>453600</v>
      </c>
      <c r="K75" s="26">
        <f>K80</f>
        <v>340069</v>
      </c>
      <c r="L75" s="26">
        <f t="shared" si="6"/>
        <v>101480</v>
      </c>
      <c r="M75" s="30">
        <f t="shared" si="6"/>
        <v>101480</v>
      </c>
      <c r="N75" s="30">
        <f t="shared" si="6"/>
        <v>101480</v>
      </c>
      <c r="O75" s="28">
        <v>0</v>
      </c>
      <c r="P75" s="28">
        <v>0</v>
      </c>
      <c r="Q75" s="28">
        <v>0</v>
      </c>
    </row>
    <row r="76" spans="1:17" s="1" customFormat="1" ht="37.5" customHeight="1">
      <c r="A76" s="78"/>
      <c r="B76" s="80"/>
      <c r="C76" s="25" t="s">
        <v>61</v>
      </c>
      <c r="D76" s="25" t="s">
        <v>9</v>
      </c>
      <c r="E76" s="25" t="s">
        <v>13</v>
      </c>
      <c r="F76" s="25" t="s">
        <v>13</v>
      </c>
      <c r="G76" s="25" t="s">
        <v>13</v>
      </c>
      <c r="H76" s="25" t="s">
        <v>13</v>
      </c>
      <c r="I76" s="26">
        <f t="shared" si="5"/>
        <v>732100</v>
      </c>
      <c r="J76" s="26">
        <f t="shared" si="6"/>
        <v>0</v>
      </c>
      <c r="K76" s="26">
        <f t="shared" si="6"/>
        <v>192100</v>
      </c>
      <c r="L76" s="26">
        <f t="shared" si="6"/>
        <v>180000</v>
      </c>
      <c r="M76" s="30">
        <f t="shared" si="6"/>
        <v>180000</v>
      </c>
      <c r="N76" s="30">
        <f t="shared" si="6"/>
        <v>180000</v>
      </c>
      <c r="O76" s="28">
        <v>0</v>
      </c>
      <c r="P76" s="28">
        <v>0</v>
      </c>
      <c r="Q76" s="28">
        <v>0</v>
      </c>
    </row>
    <row r="77" spans="1:17" s="1" customFormat="1" ht="53.25" customHeight="1">
      <c r="A77" s="78">
        <v>29</v>
      </c>
      <c r="B77" s="80" t="s">
        <v>58</v>
      </c>
      <c r="C77" s="61" t="s">
        <v>96</v>
      </c>
      <c r="D77" s="25" t="s">
        <v>9</v>
      </c>
      <c r="E77" s="25" t="s">
        <v>13</v>
      </c>
      <c r="F77" s="25" t="s">
        <v>13</v>
      </c>
      <c r="G77" s="25" t="s">
        <v>13</v>
      </c>
      <c r="H77" s="25" t="s">
        <v>13</v>
      </c>
      <c r="I77" s="26">
        <f t="shared" si="5"/>
        <v>2310428</v>
      </c>
      <c r="J77" s="26">
        <f>J79+J80+J81</f>
        <v>505600</v>
      </c>
      <c r="K77" s="27">
        <f>K79+K80+K81</f>
        <v>714169</v>
      </c>
      <c r="L77" s="26">
        <f>L79+L80+L81</f>
        <v>363553</v>
      </c>
      <c r="M77" s="28">
        <f>M79+M80+M81</f>
        <v>363553</v>
      </c>
      <c r="N77" s="28">
        <f>N79+N80+N81</f>
        <v>363553</v>
      </c>
      <c r="O77" s="28">
        <v>0</v>
      </c>
      <c r="P77" s="28">
        <v>0</v>
      </c>
      <c r="Q77" s="28">
        <v>0</v>
      </c>
    </row>
    <row r="78" spans="1:17" s="1" customFormat="1" ht="37.5" customHeight="1">
      <c r="A78" s="78"/>
      <c r="B78" s="80"/>
      <c r="C78" s="25" t="s">
        <v>26</v>
      </c>
      <c r="D78" s="88"/>
      <c r="E78" s="89"/>
      <c r="F78" s="89"/>
      <c r="G78" s="89"/>
      <c r="H78" s="89"/>
      <c r="I78" s="89"/>
      <c r="J78" s="89"/>
      <c r="K78" s="89"/>
      <c r="L78" s="89"/>
      <c r="M78" s="89"/>
      <c r="N78" s="90"/>
      <c r="O78" s="28"/>
      <c r="P78" s="28"/>
      <c r="Q78" s="28"/>
    </row>
    <row r="79" spans="1:17" s="1" customFormat="1" ht="93.75" customHeight="1">
      <c r="A79" s="78"/>
      <c r="B79" s="80"/>
      <c r="C79" s="25" t="s">
        <v>21</v>
      </c>
      <c r="D79" s="25" t="s">
        <v>9</v>
      </c>
      <c r="E79" s="25" t="s">
        <v>13</v>
      </c>
      <c r="F79" s="25" t="s">
        <v>13</v>
      </c>
      <c r="G79" s="25" t="s">
        <v>13</v>
      </c>
      <c r="H79" s="25" t="s">
        <v>13</v>
      </c>
      <c r="I79" s="26">
        <f>J79+K79+L79+M79+N79</f>
        <v>480219</v>
      </c>
      <c r="J79" s="26">
        <v>52000</v>
      </c>
      <c r="K79" s="21">
        <f>252000-70000</f>
        <v>182000</v>
      </c>
      <c r="L79" s="21">
        <v>82073</v>
      </c>
      <c r="M79" s="31">
        <f>L79</f>
        <v>82073</v>
      </c>
      <c r="N79" s="31">
        <f>M79</f>
        <v>82073</v>
      </c>
      <c r="O79" s="28">
        <v>0</v>
      </c>
      <c r="P79" s="28">
        <v>0</v>
      </c>
      <c r="Q79" s="28">
        <v>0</v>
      </c>
    </row>
    <row r="80" spans="1:17" s="1" customFormat="1" ht="39" customHeight="1">
      <c r="A80" s="78"/>
      <c r="B80" s="80"/>
      <c r="C80" s="25" t="s">
        <v>19</v>
      </c>
      <c r="D80" s="25" t="s">
        <v>9</v>
      </c>
      <c r="E80" s="25" t="s">
        <v>13</v>
      </c>
      <c r="F80" s="25" t="s">
        <v>13</v>
      </c>
      <c r="G80" s="25" t="s">
        <v>13</v>
      </c>
      <c r="H80" s="25" t="s">
        <v>13</v>
      </c>
      <c r="I80" s="26">
        <f>J80+K80+L80+M80+N80</f>
        <v>1098109</v>
      </c>
      <c r="J80" s="26">
        <v>453600</v>
      </c>
      <c r="K80" s="23">
        <f>361600-37731+16200</f>
        <v>340069</v>
      </c>
      <c r="L80" s="21">
        <v>101480</v>
      </c>
      <c r="M80" s="31">
        <f>L80</f>
        <v>101480</v>
      </c>
      <c r="N80" s="31">
        <f>M80</f>
        <v>101480</v>
      </c>
      <c r="O80" s="28">
        <v>0</v>
      </c>
      <c r="P80" s="28">
        <v>0</v>
      </c>
      <c r="Q80" s="28">
        <v>0</v>
      </c>
    </row>
    <row r="81" spans="1:17" s="1" customFormat="1" ht="39" customHeight="1">
      <c r="A81" s="78"/>
      <c r="B81" s="80"/>
      <c r="C81" s="25" t="s">
        <v>20</v>
      </c>
      <c r="D81" s="25" t="s">
        <v>9</v>
      </c>
      <c r="E81" s="25" t="s">
        <v>13</v>
      </c>
      <c r="F81" s="25" t="s">
        <v>13</v>
      </c>
      <c r="G81" s="25" t="s">
        <v>13</v>
      </c>
      <c r="H81" s="25" t="s">
        <v>13</v>
      </c>
      <c r="I81" s="26">
        <f>J81+K81+L81+M81+N81</f>
        <v>732100</v>
      </c>
      <c r="J81" s="26">
        <v>0</v>
      </c>
      <c r="K81" s="23">
        <f>229000-33800-3100</f>
        <v>192100</v>
      </c>
      <c r="L81" s="21">
        <v>180000</v>
      </c>
      <c r="M81" s="31">
        <v>180000</v>
      </c>
      <c r="N81" s="31">
        <v>180000</v>
      </c>
      <c r="O81" s="28">
        <v>0</v>
      </c>
      <c r="P81" s="28">
        <v>0</v>
      </c>
      <c r="Q81" s="28">
        <v>0</v>
      </c>
    </row>
    <row r="82" spans="1:17" s="1" customFormat="1" ht="47.25" customHeight="1">
      <c r="A82" s="36">
        <v>30</v>
      </c>
      <c r="B82" s="11" t="s">
        <v>30</v>
      </c>
      <c r="C82" s="25"/>
      <c r="D82" s="25" t="s">
        <v>9</v>
      </c>
      <c r="E82" s="25" t="s">
        <v>13</v>
      </c>
      <c r="F82" s="25" t="s">
        <v>13</v>
      </c>
      <c r="G82" s="25" t="s">
        <v>13</v>
      </c>
      <c r="H82" s="25" t="s">
        <v>13</v>
      </c>
      <c r="I82" s="26">
        <f>J82+K82+L82+M82+N82</f>
        <v>2310428</v>
      </c>
      <c r="J82" s="26">
        <f>J73</f>
        <v>505600</v>
      </c>
      <c r="K82" s="27">
        <f>K73</f>
        <v>714169</v>
      </c>
      <c r="L82" s="26">
        <f>L73</f>
        <v>363553</v>
      </c>
      <c r="M82" s="28">
        <f>M73</f>
        <v>363553</v>
      </c>
      <c r="N82" s="28">
        <f>N73</f>
        <v>363553</v>
      </c>
      <c r="O82" s="28">
        <v>0</v>
      </c>
      <c r="P82" s="28">
        <v>0</v>
      </c>
      <c r="Q82" s="28">
        <v>0</v>
      </c>
    </row>
    <row r="83" spans="1:17" s="1" customFormat="1" ht="55.5" customHeight="1">
      <c r="A83" s="36">
        <v>31</v>
      </c>
      <c r="B83" s="11" t="s">
        <v>24</v>
      </c>
      <c r="C83" s="25"/>
      <c r="D83" s="25"/>
      <c r="E83" s="25" t="s">
        <v>13</v>
      </c>
      <c r="F83" s="25" t="s">
        <v>13</v>
      </c>
      <c r="G83" s="25" t="s">
        <v>13</v>
      </c>
      <c r="H83" s="25" t="s">
        <v>13</v>
      </c>
      <c r="I83" s="26">
        <f>J83+K83+L83+M83+N83</f>
        <v>2132088404.8799996</v>
      </c>
      <c r="J83" s="26">
        <f>J82+J71+J72</f>
        <v>379094629.33999997</v>
      </c>
      <c r="K83" s="27">
        <f>K82+K72+K71</f>
        <v>430042865.21000004</v>
      </c>
      <c r="L83" s="26">
        <f>L82+L72+L71</f>
        <v>464968968.54999995</v>
      </c>
      <c r="M83" s="28">
        <f>M82+M72+M71</f>
        <v>428867628.38999999</v>
      </c>
      <c r="N83" s="28">
        <f>N82+N72+N71</f>
        <v>429114313.38999999</v>
      </c>
      <c r="O83" s="28">
        <v>0</v>
      </c>
      <c r="P83" s="28">
        <v>0</v>
      </c>
      <c r="Q83" s="28">
        <v>0</v>
      </c>
    </row>
    <row r="84" spans="1:17" s="1" customFormat="1" ht="28.5" customHeight="1">
      <c r="A84" s="36">
        <v>32</v>
      </c>
      <c r="B84" s="11" t="s">
        <v>26</v>
      </c>
      <c r="C84" s="25"/>
      <c r="D84" s="25"/>
      <c r="E84" s="25"/>
      <c r="F84" s="25"/>
      <c r="G84" s="25"/>
      <c r="H84" s="25"/>
      <c r="I84" s="25"/>
      <c r="J84" s="25"/>
      <c r="K84" s="17"/>
      <c r="L84" s="25"/>
      <c r="M84" s="12"/>
      <c r="N84" s="51"/>
      <c r="O84" s="28"/>
      <c r="P84" s="28"/>
      <c r="Q84" s="28"/>
    </row>
    <row r="85" spans="1:17" s="1" customFormat="1" ht="39.75" customHeight="1">
      <c r="A85" s="36">
        <v>33</v>
      </c>
      <c r="B85" s="11" t="s">
        <v>9</v>
      </c>
      <c r="C85" s="25"/>
      <c r="D85" s="25"/>
      <c r="E85" s="25" t="s">
        <v>13</v>
      </c>
      <c r="F85" s="25" t="s">
        <v>13</v>
      </c>
      <c r="G85" s="25" t="s">
        <v>13</v>
      </c>
      <c r="H85" s="25" t="s">
        <v>13</v>
      </c>
      <c r="I85" s="29">
        <f>J85+K85+L85+M85+N85</f>
        <v>2106701230.8799996</v>
      </c>
      <c r="J85" s="26">
        <f>J82+J71</f>
        <v>372889129.33999997</v>
      </c>
      <c r="K85" s="27">
        <f>K82+K71</f>
        <v>424396537.21000004</v>
      </c>
      <c r="L85" s="26">
        <f>L82+L71</f>
        <v>458975717.54999995</v>
      </c>
      <c r="M85" s="28">
        <f>M82+M71</f>
        <v>425219923.38999999</v>
      </c>
      <c r="N85" s="28">
        <f>N82+N71</f>
        <v>425219923.38999999</v>
      </c>
      <c r="O85" s="28">
        <v>0</v>
      </c>
      <c r="P85" s="28">
        <v>0</v>
      </c>
      <c r="Q85" s="28">
        <v>0</v>
      </c>
    </row>
    <row r="86" spans="1:17" s="1" customFormat="1" ht="39.75" customHeight="1">
      <c r="A86" s="36">
        <v>34</v>
      </c>
      <c r="B86" s="11" t="s">
        <v>34</v>
      </c>
      <c r="C86" s="25"/>
      <c r="D86" s="25"/>
      <c r="E86" s="25" t="s">
        <v>13</v>
      </c>
      <c r="F86" s="25" t="s">
        <v>13</v>
      </c>
      <c r="G86" s="25" t="s">
        <v>13</v>
      </c>
      <c r="H86" s="25" t="s">
        <v>13</v>
      </c>
      <c r="I86" s="29">
        <f>J86+K86+L86+M86+N86</f>
        <v>25387174</v>
      </c>
      <c r="J86" s="26">
        <f>J113</f>
        <v>6205500</v>
      </c>
      <c r="K86" s="27">
        <f>K72</f>
        <v>5646328</v>
      </c>
      <c r="L86" s="26">
        <f>L72</f>
        <v>5993251</v>
      </c>
      <c r="M86" s="28">
        <f>M72</f>
        <v>3647705</v>
      </c>
      <c r="N86" s="28">
        <f>N72</f>
        <v>3894390</v>
      </c>
      <c r="O86" s="28">
        <v>0</v>
      </c>
      <c r="P86" s="28">
        <v>0</v>
      </c>
      <c r="Q86" s="28">
        <v>0</v>
      </c>
    </row>
    <row r="87" spans="1:17" s="1" customFormat="1" ht="39.75" customHeight="1">
      <c r="A87" s="82" t="s">
        <v>64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4"/>
    </row>
    <row r="88" spans="1:17" s="1" customFormat="1" ht="56.25" customHeight="1">
      <c r="A88" s="78">
        <v>35</v>
      </c>
      <c r="B88" s="80" t="s">
        <v>66</v>
      </c>
      <c r="C88" s="81" t="s">
        <v>27</v>
      </c>
      <c r="D88" s="25" t="s">
        <v>65</v>
      </c>
      <c r="E88" s="25" t="s">
        <v>13</v>
      </c>
      <c r="F88" s="25" t="s">
        <v>13</v>
      </c>
      <c r="G88" s="25" t="s">
        <v>13</v>
      </c>
      <c r="H88" s="25" t="s">
        <v>13</v>
      </c>
      <c r="I88" s="26">
        <f t="shared" ref="I88:I93" si="7">SUM(J88:M88)</f>
        <v>100438120</v>
      </c>
      <c r="J88" s="26">
        <v>0</v>
      </c>
      <c r="K88" s="27">
        <f>K90</f>
        <v>100438120</v>
      </c>
      <c r="L88" s="26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</row>
    <row r="89" spans="1:17" s="1" customFormat="1" ht="39.75" customHeight="1">
      <c r="A89" s="78"/>
      <c r="B89" s="80"/>
      <c r="C89" s="81"/>
      <c r="D89" s="25" t="s">
        <v>34</v>
      </c>
      <c r="E89" s="25" t="s">
        <v>13</v>
      </c>
      <c r="F89" s="25" t="s">
        <v>13</v>
      </c>
      <c r="G89" s="25" t="s">
        <v>13</v>
      </c>
      <c r="H89" s="25" t="s">
        <v>13</v>
      </c>
      <c r="I89" s="26">
        <f t="shared" si="7"/>
        <v>39059268.890000001</v>
      </c>
      <c r="J89" s="26">
        <v>0</v>
      </c>
      <c r="K89" s="27">
        <f>K91</f>
        <v>39059268.890000001</v>
      </c>
      <c r="L89" s="26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</row>
    <row r="90" spans="1:17" s="1" customFormat="1" ht="58.5" customHeight="1">
      <c r="A90" s="78">
        <v>36</v>
      </c>
      <c r="B90" s="80" t="s">
        <v>67</v>
      </c>
      <c r="C90" s="81" t="s">
        <v>27</v>
      </c>
      <c r="D90" s="25" t="s">
        <v>65</v>
      </c>
      <c r="E90" s="25" t="s">
        <v>13</v>
      </c>
      <c r="F90" s="25" t="s">
        <v>13</v>
      </c>
      <c r="G90" s="25" t="s">
        <v>13</v>
      </c>
      <c r="H90" s="25" t="s">
        <v>13</v>
      </c>
      <c r="I90" s="26">
        <f t="shared" si="7"/>
        <v>100438120</v>
      </c>
      <c r="J90" s="26">
        <v>0</v>
      </c>
      <c r="K90" s="27">
        <f>K98</f>
        <v>100438120</v>
      </c>
      <c r="L90" s="26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</row>
    <row r="91" spans="1:17" s="1" customFormat="1" ht="122.25" customHeight="1">
      <c r="A91" s="78"/>
      <c r="B91" s="80"/>
      <c r="C91" s="81"/>
      <c r="D91" s="25" t="s">
        <v>34</v>
      </c>
      <c r="E91" s="25" t="s">
        <v>13</v>
      </c>
      <c r="F91" s="25" t="s">
        <v>13</v>
      </c>
      <c r="G91" s="25" t="s">
        <v>13</v>
      </c>
      <c r="H91" s="25" t="s">
        <v>13</v>
      </c>
      <c r="I91" s="26">
        <f t="shared" si="7"/>
        <v>39059268.890000001</v>
      </c>
      <c r="J91" s="26">
        <v>0</v>
      </c>
      <c r="K91" s="27">
        <f>K99</f>
        <v>39059268.890000001</v>
      </c>
      <c r="L91" s="26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</row>
    <row r="92" spans="1:17" s="1" customFormat="1" ht="44.25" customHeight="1">
      <c r="A92" s="78">
        <v>37</v>
      </c>
      <c r="B92" s="80" t="s">
        <v>68</v>
      </c>
      <c r="C92" s="81" t="s">
        <v>27</v>
      </c>
      <c r="D92" s="25" t="s">
        <v>65</v>
      </c>
      <c r="E92" s="25" t="s">
        <v>13</v>
      </c>
      <c r="F92" s="25" t="s">
        <v>13</v>
      </c>
      <c r="G92" s="25" t="s">
        <v>13</v>
      </c>
      <c r="H92" s="25" t="s">
        <v>13</v>
      </c>
      <c r="I92" s="26">
        <f t="shared" si="7"/>
        <v>66958745.460000001</v>
      </c>
      <c r="J92" s="26">
        <v>0</v>
      </c>
      <c r="K92" s="27">
        <f>66958745.46</f>
        <v>66958745.460000001</v>
      </c>
      <c r="L92" s="26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</row>
    <row r="93" spans="1:17" s="1" customFormat="1" ht="45.75" customHeight="1">
      <c r="A93" s="78"/>
      <c r="B93" s="80"/>
      <c r="C93" s="81"/>
      <c r="D93" s="25" t="s">
        <v>34</v>
      </c>
      <c r="E93" s="25" t="s">
        <v>13</v>
      </c>
      <c r="F93" s="25" t="s">
        <v>13</v>
      </c>
      <c r="G93" s="25" t="s">
        <v>13</v>
      </c>
      <c r="H93" s="25" t="s">
        <v>13</v>
      </c>
      <c r="I93" s="26">
        <f t="shared" si="7"/>
        <v>26039512.129999999</v>
      </c>
      <c r="J93" s="26">
        <v>0</v>
      </c>
      <c r="K93" s="27">
        <f>26039517.24-5.11</f>
        <v>26039512.129999999</v>
      </c>
      <c r="L93" s="26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</row>
    <row r="94" spans="1:17" s="1" customFormat="1" ht="45.75" customHeight="1">
      <c r="A94" s="78">
        <v>38</v>
      </c>
      <c r="B94" s="80" t="s">
        <v>69</v>
      </c>
      <c r="C94" s="81" t="s">
        <v>27</v>
      </c>
      <c r="D94" s="25" t="s">
        <v>65</v>
      </c>
      <c r="E94" s="25" t="s">
        <v>13</v>
      </c>
      <c r="F94" s="25" t="s">
        <v>13</v>
      </c>
      <c r="G94" s="25" t="s">
        <v>13</v>
      </c>
      <c r="H94" s="25" t="s">
        <v>13</v>
      </c>
      <c r="I94" s="26">
        <f t="shared" ref="I94:I98" si="8">SUM(J94:M94)</f>
        <v>33479374.539999999</v>
      </c>
      <c r="J94" s="26">
        <v>0</v>
      </c>
      <c r="K94" s="27">
        <v>33479374.539999999</v>
      </c>
      <c r="L94" s="26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</row>
    <row r="95" spans="1:17" s="1" customFormat="1" ht="47.25" customHeight="1">
      <c r="A95" s="78"/>
      <c r="B95" s="80"/>
      <c r="C95" s="81"/>
      <c r="D95" s="25" t="s">
        <v>34</v>
      </c>
      <c r="E95" s="25" t="s">
        <v>13</v>
      </c>
      <c r="F95" s="25" t="s">
        <v>13</v>
      </c>
      <c r="G95" s="25" t="s">
        <v>13</v>
      </c>
      <c r="H95" s="25" t="s">
        <v>13</v>
      </c>
      <c r="I95" s="26">
        <f t="shared" si="8"/>
        <v>13019756.76</v>
      </c>
      <c r="J95" s="26">
        <v>0</v>
      </c>
      <c r="K95" s="27">
        <v>13019756.76</v>
      </c>
      <c r="L95" s="26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</row>
    <row r="96" spans="1:17" s="1" customFormat="1" ht="48" hidden="1" customHeight="1">
      <c r="A96" s="78">
        <v>35</v>
      </c>
      <c r="B96" s="80" t="s">
        <v>74</v>
      </c>
      <c r="C96" s="81" t="s">
        <v>27</v>
      </c>
      <c r="D96" s="25" t="s">
        <v>65</v>
      </c>
      <c r="E96" s="25" t="s">
        <v>13</v>
      </c>
      <c r="F96" s="25" t="s">
        <v>13</v>
      </c>
      <c r="G96" s="25" t="s">
        <v>13</v>
      </c>
      <c r="H96" s="25" t="s">
        <v>13</v>
      </c>
      <c r="I96" s="26">
        <f>K96</f>
        <v>0</v>
      </c>
      <c r="J96" s="26">
        <v>0</v>
      </c>
      <c r="K96" s="27">
        <v>0</v>
      </c>
      <c r="L96" s="26">
        <v>0</v>
      </c>
      <c r="M96" s="28">
        <v>0</v>
      </c>
      <c r="N96" s="28"/>
      <c r="O96" s="28"/>
      <c r="P96" s="28"/>
      <c r="Q96" s="28"/>
    </row>
    <row r="97" spans="1:17" s="1" customFormat="1" ht="48" hidden="1" customHeight="1">
      <c r="A97" s="78"/>
      <c r="B97" s="80"/>
      <c r="C97" s="81"/>
      <c r="D97" s="25" t="s">
        <v>34</v>
      </c>
      <c r="E97" s="25" t="s">
        <v>13</v>
      </c>
      <c r="F97" s="25" t="s">
        <v>13</v>
      </c>
      <c r="G97" s="25" t="s">
        <v>13</v>
      </c>
      <c r="H97" s="25" t="s">
        <v>13</v>
      </c>
      <c r="I97" s="26">
        <f>K97</f>
        <v>0</v>
      </c>
      <c r="J97" s="26">
        <v>0</v>
      </c>
      <c r="K97" s="27">
        <v>0</v>
      </c>
      <c r="L97" s="26">
        <v>0</v>
      </c>
      <c r="M97" s="28">
        <v>0</v>
      </c>
      <c r="N97" s="28"/>
      <c r="O97" s="28"/>
      <c r="P97" s="28"/>
      <c r="Q97" s="28"/>
    </row>
    <row r="98" spans="1:17" s="1" customFormat="1" ht="48" customHeight="1">
      <c r="A98" s="78">
        <v>39</v>
      </c>
      <c r="B98" s="80" t="s">
        <v>70</v>
      </c>
      <c r="C98" s="81"/>
      <c r="D98" s="25" t="s">
        <v>65</v>
      </c>
      <c r="E98" s="25" t="s">
        <v>13</v>
      </c>
      <c r="F98" s="25" t="s">
        <v>13</v>
      </c>
      <c r="G98" s="25" t="s">
        <v>13</v>
      </c>
      <c r="H98" s="25" t="s">
        <v>13</v>
      </c>
      <c r="I98" s="26">
        <f t="shared" si="8"/>
        <v>100438120</v>
      </c>
      <c r="J98" s="26">
        <v>0</v>
      </c>
      <c r="K98" s="27">
        <f>SUM(K92+K94+K96)</f>
        <v>100438120</v>
      </c>
      <c r="L98" s="26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</row>
    <row r="99" spans="1:17" s="1" customFormat="1" ht="72.75" customHeight="1">
      <c r="A99" s="78"/>
      <c r="B99" s="80"/>
      <c r="C99" s="81"/>
      <c r="D99" s="25" t="s">
        <v>34</v>
      </c>
      <c r="E99" s="25" t="s">
        <v>13</v>
      </c>
      <c r="F99" s="25" t="s">
        <v>13</v>
      </c>
      <c r="G99" s="25" t="s">
        <v>13</v>
      </c>
      <c r="H99" s="25" t="s">
        <v>13</v>
      </c>
      <c r="I99" s="26">
        <f>SUM(J99:M99)</f>
        <v>39059268.890000001</v>
      </c>
      <c r="J99" s="26">
        <v>0</v>
      </c>
      <c r="K99" s="27">
        <f>SUM(K93+K95+K97)</f>
        <v>39059268.890000001</v>
      </c>
      <c r="L99" s="26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</row>
    <row r="100" spans="1:17" s="1" customFormat="1" ht="65.25" customHeight="1">
      <c r="A100" s="78">
        <v>40</v>
      </c>
      <c r="B100" s="80" t="s">
        <v>71</v>
      </c>
      <c r="C100" s="81" t="s">
        <v>27</v>
      </c>
      <c r="D100" s="25" t="s">
        <v>65</v>
      </c>
      <c r="E100" s="25" t="s">
        <v>13</v>
      </c>
      <c r="F100" s="25" t="s">
        <v>13</v>
      </c>
      <c r="G100" s="25" t="s">
        <v>13</v>
      </c>
      <c r="H100" s="25" t="s">
        <v>13</v>
      </c>
      <c r="I100" s="26">
        <v>0</v>
      </c>
      <c r="J100" s="26">
        <v>0</v>
      </c>
      <c r="K100" s="27">
        <v>0</v>
      </c>
      <c r="L100" s="26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</row>
    <row r="101" spans="1:17" s="1" customFormat="1" ht="111.75" customHeight="1">
      <c r="A101" s="78"/>
      <c r="B101" s="80"/>
      <c r="C101" s="81"/>
      <c r="D101" s="25" t="s">
        <v>34</v>
      </c>
      <c r="E101" s="25" t="s">
        <v>13</v>
      </c>
      <c r="F101" s="25" t="s">
        <v>13</v>
      </c>
      <c r="G101" s="25" t="s">
        <v>13</v>
      </c>
      <c r="H101" s="25" t="s">
        <v>13</v>
      </c>
      <c r="I101" s="26">
        <v>0</v>
      </c>
      <c r="J101" s="26">
        <v>0</v>
      </c>
      <c r="K101" s="27">
        <v>0</v>
      </c>
      <c r="L101" s="26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</row>
    <row r="102" spans="1:17" s="1" customFormat="1" ht="65.25" customHeight="1">
      <c r="A102" s="78">
        <v>41</v>
      </c>
      <c r="B102" s="80" t="s">
        <v>72</v>
      </c>
      <c r="C102" s="81" t="s">
        <v>27</v>
      </c>
      <c r="D102" s="25" t="s">
        <v>65</v>
      </c>
      <c r="E102" s="25" t="s">
        <v>13</v>
      </c>
      <c r="F102" s="25" t="s">
        <v>13</v>
      </c>
      <c r="G102" s="25" t="s">
        <v>13</v>
      </c>
      <c r="H102" s="25" t="s">
        <v>13</v>
      </c>
      <c r="I102" s="26">
        <v>0</v>
      </c>
      <c r="J102" s="26">
        <v>0</v>
      </c>
      <c r="K102" s="27">
        <v>0</v>
      </c>
      <c r="L102" s="26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</row>
    <row r="103" spans="1:17" s="1" customFormat="1" ht="90.75" customHeight="1">
      <c r="A103" s="78"/>
      <c r="B103" s="80"/>
      <c r="C103" s="81"/>
      <c r="D103" s="25" t="s">
        <v>34</v>
      </c>
      <c r="E103" s="25" t="s">
        <v>13</v>
      </c>
      <c r="F103" s="25" t="s">
        <v>13</v>
      </c>
      <c r="G103" s="25" t="s">
        <v>13</v>
      </c>
      <c r="H103" s="25" t="s">
        <v>13</v>
      </c>
      <c r="I103" s="26">
        <v>0</v>
      </c>
      <c r="J103" s="26">
        <v>0</v>
      </c>
      <c r="K103" s="27">
        <v>0</v>
      </c>
      <c r="L103" s="26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</row>
    <row r="104" spans="1:17" s="1" customFormat="1" ht="45" customHeight="1">
      <c r="A104" s="92">
        <v>42</v>
      </c>
      <c r="B104" s="80" t="s">
        <v>73</v>
      </c>
      <c r="C104" s="81"/>
      <c r="D104" s="25" t="s">
        <v>65</v>
      </c>
      <c r="E104" s="25" t="s">
        <v>13</v>
      </c>
      <c r="F104" s="25" t="s">
        <v>13</v>
      </c>
      <c r="G104" s="25" t="s">
        <v>13</v>
      </c>
      <c r="H104" s="25" t="s">
        <v>13</v>
      </c>
      <c r="I104" s="26">
        <v>0</v>
      </c>
      <c r="J104" s="26">
        <v>0</v>
      </c>
      <c r="K104" s="27">
        <v>0</v>
      </c>
      <c r="L104" s="26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</row>
    <row r="105" spans="1:17" s="1" customFormat="1" ht="49.5" customHeight="1">
      <c r="A105" s="92"/>
      <c r="B105" s="80"/>
      <c r="C105" s="81"/>
      <c r="D105" s="25" t="s">
        <v>34</v>
      </c>
      <c r="E105" s="25" t="s">
        <v>13</v>
      </c>
      <c r="F105" s="25" t="s">
        <v>13</v>
      </c>
      <c r="G105" s="25" t="s">
        <v>13</v>
      </c>
      <c r="H105" s="25" t="s">
        <v>13</v>
      </c>
      <c r="I105" s="26">
        <v>0</v>
      </c>
      <c r="J105" s="26">
        <v>0</v>
      </c>
      <c r="K105" s="27">
        <v>0</v>
      </c>
      <c r="L105" s="26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</row>
    <row r="106" spans="1:17" s="1" customFormat="1" ht="49.5" customHeight="1">
      <c r="A106" s="19">
        <v>43</v>
      </c>
      <c r="B106" s="11" t="s">
        <v>24</v>
      </c>
      <c r="C106" s="25"/>
      <c r="D106" s="25"/>
      <c r="E106" s="25" t="s">
        <v>13</v>
      </c>
      <c r="F106" s="25" t="s">
        <v>13</v>
      </c>
      <c r="G106" s="25" t="s">
        <v>13</v>
      </c>
      <c r="H106" s="25" t="s">
        <v>13</v>
      </c>
      <c r="I106" s="26">
        <f>SUM(J106:N106)</f>
        <v>139497388.88999999</v>
      </c>
      <c r="J106" s="26">
        <v>0</v>
      </c>
      <c r="K106" s="27">
        <f>SUM(K98:K99)</f>
        <v>139497388.88999999</v>
      </c>
      <c r="L106" s="26">
        <v>0</v>
      </c>
      <c r="M106" s="53">
        <v>0</v>
      </c>
      <c r="N106" s="28">
        <v>0</v>
      </c>
      <c r="O106" s="28">
        <v>0</v>
      </c>
      <c r="P106" s="28">
        <v>0</v>
      </c>
      <c r="Q106" s="28">
        <v>0</v>
      </c>
    </row>
    <row r="107" spans="1:17" s="1" customFormat="1" ht="31.5" customHeight="1">
      <c r="A107" s="19">
        <v>44</v>
      </c>
      <c r="B107" s="11" t="s">
        <v>26</v>
      </c>
      <c r="C107" s="25"/>
      <c r="D107" s="25"/>
      <c r="E107" s="25"/>
      <c r="F107" s="25"/>
      <c r="G107" s="25"/>
      <c r="H107" s="25"/>
      <c r="I107" s="26"/>
      <c r="J107" s="26"/>
      <c r="K107" s="27"/>
      <c r="L107" s="26"/>
      <c r="M107" s="28"/>
      <c r="N107" s="28"/>
      <c r="O107" s="28"/>
      <c r="P107" s="28"/>
      <c r="Q107" s="28"/>
    </row>
    <row r="108" spans="1:17" s="1" customFormat="1" ht="33.75" customHeight="1">
      <c r="A108" s="19">
        <v>45</v>
      </c>
      <c r="B108" s="11" t="s">
        <v>65</v>
      </c>
      <c r="C108" s="25"/>
      <c r="D108" s="25"/>
      <c r="E108" s="25" t="s">
        <v>13</v>
      </c>
      <c r="F108" s="25" t="s">
        <v>13</v>
      </c>
      <c r="G108" s="25" t="s">
        <v>13</v>
      </c>
      <c r="H108" s="25" t="s">
        <v>13</v>
      </c>
      <c r="I108" s="26">
        <f>SUM(J108:M108)</f>
        <v>100438120</v>
      </c>
      <c r="J108" s="26">
        <v>0</v>
      </c>
      <c r="K108" s="27">
        <f>SUM(K98)</f>
        <v>100438120</v>
      </c>
      <c r="L108" s="26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</row>
    <row r="109" spans="1:17" s="1" customFormat="1" ht="46.5" customHeight="1">
      <c r="A109" s="19">
        <v>46</v>
      </c>
      <c r="B109" s="11" t="s">
        <v>34</v>
      </c>
      <c r="C109" s="25"/>
      <c r="D109" s="25"/>
      <c r="E109" s="25" t="s">
        <v>13</v>
      </c>
      <c r="F109" s="25" t="s">
        <v>13</v>
      </c>
      <c r="G109" s="25" t="s">
        <v>13</v>
      </c>
      <c r="H109" s="25" t="s">
        <v>13</v>
      </c>
      <c r="I109" s="26">
        <f>SUM(J109:M109)</f>
        <v>39059268.890000001</v>
      </c>
      <c r="J109" s="26">
        <v>0</v>
      </c>
      <c r="K109" s="34">
        <f>K99</f>
        <v>39059268.890000001</v>
      </c>
      <c r="L109" s="26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</row>
    <row r="110" spans="1:17" ht="39" customHeight="1">
      <c r="A110" s="36">
        <v>47</v>
      </c>
      <c r="B110" s="11" t="s">
        <v>10</v>
      </c>
      <c r="C110" s="25"/>
      <c r="D110" s="25"/>
      <c r="E110" s="25" t="s">
        <v>13</v>
      </c>
      <c r="F110" s="25" t="s">
        <v>13</v>
      </c>
      <c r="G110" s="25" t="s">
        <v>13</v>
      </c>
      <c r="H110" s="25" t="s">
        <v>13</v>
      </c>
      <c r="I110" s="26">
        <f>J110+K110+L110+M110+N110+Q110+O110+P110</f>
        <v>2484187723.8499999</v>
      </c>
      <c r="J110" s="26">
        <f>J14+J18+J27+J28</f>
        <v>390711350.44</v>
      </c>
      <c r="K110" s="23">
        <f>K112+K113+K114</f>
        <v>584295408.25</v>
      </c>
      <c r="L110" s="26">
        <f>L112+L113</f>
        <v>505060932.15999997</v>
      </c>
      <c r="M110" s="28">
        <f>M113+M112</f>
        <v>473991674</v>
      </c>
      <c r="N110" s="28">
        <f>N113+N112</f>
        <v>474238359</v>
      </c>
      <c r="O110" s="28">
        <f>O10</f>
        <v>19720000</v>
      </c>
      <c r="P110" s="28">
        <f t="shared" ref="P110:Q110" si="9">P10</f>
        <v>19720000</v>
      </c>
      <c r="Q110" s="28">
        <f t="shared" si="9"/>
        <v>16450000</v>
      </c>
    </row>
    <row r="111" spans="1:17" ht="15" customHeight="1">
      <c r="A111" s="36">
        <v>48</v>
      </c>
      <c r="B111" s="11" t="s">
        <v>26</v>
      </c>
      <c r="C111" s="25"/>
      <c r="D111" s="25"/>
      <c r="E111" s="25"/>
      <c r="F111" s="25"/>
      <c r="G111" s="25"/>
      <c r="H111" s="25"/>
      <c r="I111" s="26"/>
      <c r="J111" s="26"/>
      <c r="K111" s="27"/>
      <c r="L111" s="26"/>
      <c r="M111" s="28"/>
      <c r="N111" s="51"/>
      <c r="O111" s="28"/>
      <c r="P111" s="28"/>
      <c r="Q111" s="28"/>
    </row>
    <row r="112" spans="1:17" ht="34.5" customHeight="1">
      <c r="A112" s="36">
        <v>49</v>
      </c>
      <c r="B112" s="11" t="s">
        <v>9</v>
      </c>
      <c r="C112" s="25"/>
      <c r="D112" s="25"/>
      <c r="E112" s="25"/>
      <c r="F112" s="25"/>
      <c r="G112" s="25"/>
      <c r="H112" s="25"/>
      <c r="I112" s="26">
        <f>SUM(J112:Q112)</f>
        <v>2319303160.96</v>
      </c>
      <c r="J112" s="26">
        <f>J110-J113</f>
        <v>384505850.44</v>
      </c>
      <c r="K112" s="32">
        <f>K10</f>
        <v>439151691.36000001</v>
      </c>
      <c r="L112" s="32">
        <f>L10</f>
        <v>499067681.15999997</v>
      </c>
      <c r="M112" s="28">
        <f>M10</f>
        <v>470343969</v>
      </c>
      <c r="N112" s="28">
        <f>N10</f>
        <v>470343969</v>
      </c>
      <c r="O112" s="28">
        <f>O110</f>
        <v>19720000</v>
      </c>
      <c r="P112" s="28">
        <f t="shared" ref="P112:Q112" si="10">P110</f>
        <v>19720000</v>
      </c>
      <c r="Q112" s="28">
        <f t="shared" si="10"/>
        <v>16450000</v>
      </c>
    </row>
    <row r="113" spans="1:17" ht="41.25" customHeight="1">
      <c r="A113" s="36">
        <v>50</v>
      </c>
      <c r="B113" s="11" t="s">
        <v>34</v>
      </c>
      <c r="C113" s="25"/>
      <c r="D113" s="25"/>
      <c r="E113" s="25"/>
      <c r="F113" s="25"/>
      <c r="G113" s="25"/>
      <c r="H113" s="25"/>
      <c r="I113" s="26">
        <f>J113+K113+L113+M113+N113</f>
        <v>64446442.890000001</v>
      </c>
      <c r="J113" s="26">
        <v>6205500</v>
      </c>
      <c r="K113" s="23">
        <f>K12</f>
        <v>44705596.890000001</v>
      </c>
      <c r="L113" s="26">
        <f>L12</f>
        <v>5993251</v>
      </c>
      <c r="M113" s="28">
        <f>M12</f>
        <v>3647705</v>
      </c>
      <c r="N113" s="28">
        <f>N12</f>
        <v>3894390</v>
      </c>
      <c r="O113" s="28">
        <v>0</v>
      </c>
      <c r="P113" s="28">
        <v>0</v>
      </c>
      <c r="Q113" s="28">
        <v>0</v>
      </c>
    </row>
    <row r="114" spans="1:17" ht="35.25" customHeight="1">
      <c r="A114" s="36">
        <v>51</v>
      </c>
      <c r="B114" s="20" t="s">
        <v>65</v>
      </c>
      <c r="C114" s="36"/>
      <c r="D114" s="36"/>
      <c r="E114" s="36"/>
      <c r="F114" s="36"/>
      <c r="G114" s="36"/>
      <c r="H114" s="36"/>
      <c r="I114" s="21">
        <f>SUM(J114:M114)</f>
        <v>100438120</v>
      </c>
      <c r="J114" s="22">
        <v>0</v>
      </c>
      <c r="K114" s="23">
        <f>K108</f>
        <v>100438120</v>
      </c>
      <c r="L114" s="22">
        <v>0</v>
      </c>
      <c r="M114" s="24">
        <v>0</v>
      </c>
      <c r="N114" s="24">
        <v>0</v>
      </c>
      <c r="O114" s="28">
        <v>0</v>
      </c>
      <c r="P114" s="28">
        <v>0</v>
      </c>
      <c r="Q114" s="28">
        <v>0</v>
      </c>
    </row>
    <row r="115" spans="1:17" ht="29.25" customHeight="1">
      <c r="B115" s="86"/>
      <c r="C115" s="86"/>
      <c r="D115" s="86"/>
      <c r="I115" s="91"/>
      <c r="J115" s="91"/>
      <c r="K115" s="91"/>
      <c r="L115" s="91"/>
    </row>
    <row r="116" spans="1:17">
      <c r="B116" s="87"/>
      <c r="C116" s="87"/>
      <c r="D116" s="87"/>
      <c r="I116" s="87"/>
      <c r="J116" s="87"/>
      <c r="K116" s="87"/>
      <c r="L116" s="87"/>
    </row>
    <row r="117" spans="1:17" ht="17.25" customHeight="1">
      <c r="B117" s="5"/>
      <c r="C117" s="5"/>
    </row>
    <row r="118" spans="1:17" ht="30.75" customHeight="1">
      <c r="B118" s="85"/>
      <c r="C118" s="85"/>
      <c r="D118" s="85"/>
    </row>
    <row r="119" spans="1:17" ht="15" customHeight="1">
      <c r="B119" s="85"/>
      <c r="C119" s="85"/>
      <c r="D119" s="85"/>
    </row>
    <row r="120" spans="1:17">
      <c r="B120" s="85"/>
      <c r="C120" s="85"/>
      <c r="D120" s="85"/>
    </row>
  </sheetData>
  <mergeCells count="82">
    <mergeCell ref="B10:B13"/>
    <mergeCell ref="C10:C13"/>
    <mergeCell ref="C37:C38"/>
    <mergeCell ref="B35:B36"/>
    <mergeCell ref="C35:C36"/>
    <mergeCell ref="A27:A28"/>
    <mergeCell ref="A32:Q32"/>
    <mergeCell ref="B37:B38"/>
    <mergeCell ref="D56:L56"/>
    <mergeCell ref="C71:C72"/>
    <mergeCell ref="D41:L41"/>
    <mergeCell ref="B40:B45"/>
    <mergeCell ref="D65:D70"/>
    <mergeCell ref="C27:C28"/>
    <mergeCell ref="A35:A36"/>
    <mergeCell ref="A65:A70"/>
    <mergeCell ref="B65:B70"/>
    <mergeCell ref="I1:L1"/>
    <mergeCell ref="C6:C7"/>
    <mergeCell ref="A4:L4"/>
    <mergeCell ref="A5:L5"/>
    <mergeCell ref="A6:A7"/>
    <mergeCell ref="B6:B7"/>
    <mergeCell ref="E6:H6"/>
    <mergeCell ref="D6:D7"/>
    <mergeCell ref="K2:N2"/>
    <mergeCell ref="I6:Q6"/>
    <mergeCell ref="A10:A13"/>
    <mergeCell ref="B20:B24"/>
    <mergeCell ref="B27:B28"/>
    <mergeCell ref="C104:C105"/>
    <mergeCell ref="B94:B95"/>
    <mergeCell ref="C94:C95"/>
    <mergeCell ref="B88:B89"/>
    <mergeCell ref="C88:C89"/>
    <mergeCell ref="B90:B91"/>
    <mergeCell ref="C90:C91"/>
    <mergeCell ref="B98:B99"/>
    <mergeCell ref="C98:C99"/>
    <mergeCell ref="A104:A105"/>
    <mergeCell ref="B104:B105"/>
    <mergeCell ref="A73:A76"/>
    <mergeCell ref="B77:B81"/>
    <mergeCell ref="B118:D120"/>
    <mergeCell ref="B115:D115"/>
    <mergeCell ref="B116:D116"/>
    <mergeCell ref="B71:B72"/>
    <mergeCell ref="B55:B58"/>
    <mergeCell ref="B102:B103"/>
    <mergeCell ref="C102:C103"/>
    <mergeCell ref="B92:B93"/>
    <mergeCell ref="C92:C93"/>
    <mergeCell ref="B96:B97"/>
    <mergeCell ref="C96:C97"/>
    <mergeCell ref="C100:C101"/>
    <mergeCell ref="D78:N78"/>
    <mergeCell ref="I115:L115"/>
    <mergeCell ref="I116:L116"/>
    <mergeCell ref="B73:B76"/>
    <mergeCell ref="A77:A81"/>
    <mergeCell ref="B100:B101"/>
    <mergeCell ref="A102:A103"/>
    <mergeCell ref="A98:A99"/>
    <mergeCell ref="A100:A101"/>
    <mergeCell ref="A96:A97"/>
    <mergeCell ref="A87:Q87"/>
    <mergeCell ref="B9:Q9"/>
    <mergeCell ref="A94:A95"/>
    <mergeCell ref="A88:A89"/>
    <mergeCell ref="A90:A91"/>
    <mergeCell ref="A92:A93"/>
    <mergeCell ref="A37:A38"/>
    <mergeCell ref="A40:A45"/>
    <mergeCell ref="A71:A72"/>
    <mergeCell ref="A55:A58"/>
    <mergeCell ref="A48:A54"/>
    <mergeCell ref="B48:B54"/>
    <mergeCell ref="B29:B31"/>
    <mergeCell ref="C29:C31"/>
    <mergeCell ref="A20:A24"/>
    <mergeCell ref="A29:A31"/>
    <mergeCell ref="D20:L20"/>
  </mergeCells>
  <pageMargins left="0.70866141732283472" right="0" top="1.1811023622047245" bottom="0.74803149606299213" header="0.98425196850393704" footer="0.31496062992125984"/>
  <pageSetup paperSize="9" scale="50" orientation="landscape" r:id="rId1"/>
  <headerFooter>
    <oddHeader>&amp;C &amp;P</oddHeader>
  </headerFooter>
  <rowBreaks count="10" manualBreakCount="10">
    <brk id="15" max="25" man="1"/>
    <brk id="26" max="25" man="1"/>
    <brk id="40" max="25" man="1"/>
    <brk id="48" max="26" man="1"/>
    <brk id="59" max="26" man="1"/>
    <brk id="71" max="25" man="1"/>
    <brk id="78" max="25" man="1"/>
    <brk id="91" max="26" man="1"/>
    <brk id="105" max="26" man="1"/>
    <brk id="115" max="16383" man="1"/>
  </rowBreaks>
  <colBreaks count="1" manualBreakCount="1">
    <brk id="17" max="1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2018-07-19T06:55:46Z</dcterms:modified>
</cp:coreProperties>
</file>