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0" yWindow="0" windowWidth="19200" windowHeight="11595"/>
  </bookViews>
  <sheets>
    <sheet name="Расходы" sheetId="3" r:id="rId1"/>
  </sheets>
  <definedNames>
    <definedName name="_xlnm._FilterDatabase" localSheetId="0" hidden="1">Расходы!$A$7:$X$47</definedName>
    <definedName name="_xlnm.Print_Titles" localSheetId="0">Расходы!$6:$8</definedName>
    <definedName name="_xlnm.Print_Area" localSheetId="0">Расходы!$A$1:$R$147</definedName>
  </definedNames>
  <calcPr calcId="144525"/>
</workbook>
</file>

<file path=xl/calcChain.xml><?xml version="1.0" encoding="utf-8"?>
<calcChain xmlns="http://schemas.openxmlformats.org/spreadsheetml/2006/main">
  <c r="P73" i="3" l="1"/>
  <c r="R150" i="3"/>
  <c r="Q150" i="3"/>
  <c r="P150" i="3"/>
  <c r="I137" i="3" l="1"/>
  <c r="I135" i="3"/>
  <c r="I134" i="3"/>
  <c r="I133" i="3"/>
  <c r="I132" i="3"/>
  <c r="I131" i="3"/>
  <c r="I130" i="3"/>
  <c r="I127" i="3"/>
  <c r="I126" i="3"/>
  <c r="I125" i="3"/>
  <c r="I124" i="3"/>
  <c r="I88" i="3"/>
  <c r="I86" i="3"/>
  <c r="I82" i="3"/>
  <c r="I76" i="3"/>
  <c r="I75" i="3"/>
  <c r="I74" i="3"/>
  <c r="I72" i="3"/>
  <c r="I44" i="3"/>
  <c r="I42" i="3"/>
  <c r="I41" i="3"/>
  <c r="I40" i="3"/>
  <c r="I39" i="3"/>
  <c r="I36" i="3"/>
  <c r="I18" i="3"/>
  <c r="I20" i="3"/>
  <c r="I21" i="3"/>
  <c r="P154" i="3"/>
  <c r="P155" i="3"/>
  <c r="R184" i="3"/>
  <c r="R185" i="3"/>
  <c r="R186" i="3"/>
  <c r="R183" i="3"/>
  <c r="S149" i="3"/>
  <c r="P65" i="3"/>
  <c r="O150" i="3"/>
  <c r="M78" i="3"/>
  <c r="L78" i="3"/>
  <c r="R78" i="3"/>
  <c r="Q78" i="3"/>
  <c r="O78" i="3"/>
  <c r="N78" i="3"/>
  <c r="P78" i="3"/>
  <c r="P17" i="3"/>
  <c r="P16" i="3"/>
  <c r="Q16" i="3"/>
  <c r="R16" i="3"/>
  <c r="P181" i="3"/>
  <c r="P189" i="3" s="1"/>
  <c r="Q181" i="3"/>
  <c r="Q189" i="3" s="1"/>
  <c r="R181" i="3"/>
  <c r="Q155" i="3"/>
  <c r="R155" i="3"/>
  <c r="O73" i="3"/>
  <c r="O77" i="3"/>
  <c r="I77" i="3" s="1"/>
  <c r="O154" i="3"/>
  <c r="O155" i="3" s="1"/>
  <c r="O64" i="3"/>
  <c r="O84" i="3"/>
  <c r="O181" i="3"/>
  <c r="O189" i="3" s="1"/>
  <c r="R189" i="3" l="1"/>
  <c r="Q173" i="3"/>
  <c r="Q105" i="3"/>
  <c r="Q104" i="3"/>
  <c r="Q179" i="3" s="1"/>
  <c r="Q187" i="3" s="1"/>
  <c r="Q103" i="3"/>
  <c r="Q102" i="3"/>
  <c r="Q182" i="3" s="1"/>
  <c r="Q190" i="3" s="1"/>
  <c r="Q101" i="3"/>
  <c r="Q180" i="3" s="1"/>
  <c r="Q188" i="3" s="1"/>
  <c r="Q95" i="3"/>
  <c r="Q89" i="3"/>
  <c r="Q73" i="3"/>
  <c r="Q65" i="3" s="1"/>
  <c r="Q67" i="3"/>
  <c r="Q52" i="3" s="1"/>
  <c r="Q33" i="3" s="1"/>
  <c r="Q66" i="3"/>
  <c r="Q57" i="3"/>
  <c r="Q55" i="3"/>
  <c r="Q116" i="3" s="1"/>
  <c r="Q54" i="3"/>
  <c r="Q51" i="3"/>
  <c r="Q115" i="3" s="1"/>
  <c r="Q43" i="3"/>
  <c r="Q38" i="3"/>
  <c r="Q37" i="3"/>
  <c r="Q32" i="3"/>
  <c r="Q30" i="3"/>
  <c r="Q23" i="3"/>
  <c r="Q22" i="3" s="1"/>
  <c r="Q15" i="3"/>
  <c r="Q13" i="3" s="1"/>
  <c r="Q14" i="3"/>
  <c r="Q143" i="3" s="1"/>
  <c r="Q11" i="3"/>
  <c r="Q100" i="3" l="1"/>
  <c r="Q111" i="3" s="1"/>
  <c r="Q149" i="3"/>
  <c r="Q151" i="3" s="1"/>
  <c r="Q53" i="3"/>
  <c r="Q50" i="3" s="1"/>
  <c r="Q172" i="3"/>
  <c r="AB65" i="3"/>
  <c r="AB73" i="3"/>
  <c r="Y63" i="3"/>
  <c r="Y64" i="3"/>
  <c r="Q142" i="3" l="1"/>
  <c r="Q140" i="3" s="1"/>
  <c r="Q157" i="3" s="1"/>
  <c r="Q114" i="3"/>
  <c r="Q31" i="3"/>
  <c r="Q10" i="3" s="1"/>
  <c r="Q112" i="3"/>
  <c r="L11" i="3"/>
  <c r="M11" i="3"/>
  <c r="N11" i="3"/>
  <c r="O11" i="3"/>
  <c r="R11" i="3"/>
  <c r="L173" i="3"/>
  <c r="M173" i="3"/>
  <c r="O173" i="3"/>
  <c r="P173" i="3"/>
  <c r="R173" i="3"/>
  <c r="J173" i="3"/>
  <c r="O16" i="3"/>
  <c r="N16" i="3"/>
  <c r="Y77" i="3"/>
  <c r="Z77" i="3"/>
  <c r="AA77" i="3"/>
  <c r="Y42" i="3"/>
  <c r="O167" i="3"/>
  <c r="AC73" i="3"/>
  <c r="V65" i="3"/>
  <c r="V104" i="3"/>
  <c r="V103" i="3"/>
  <c r="V102" i="3"/>
  <c r="V101" i="3"/>
  <c r="V93" i="3"/>
  <c r="X105" i="3"/>
  <c r="W105" i="3"/>
  <c r="V105" i="3"/>
  <c r="X104" i="3"/>
  <c r="W104" i="3"/>
  <c r="X103" i="3"/>
  <c r="W103" i="3"/>
  <c r="X102" i="3"/>
  <c r="W102" i="3"/>
  <c r="X101" i="3"/>
  <c r="W101" i="3"/>
  <c r="W100" i="3" s="1"/>
  <c r="W111" i="3" s="1"/>
  <c r="X95" i="3"/>
  <c r="W95" i="3"/>
  <c r="V95" i="3"/>
  <c r="V89" i="3"/>
  <c r="X89" i="3"/>
  <c r="W89" i="3"/>
  <c r="X78" i="3"/>
  <c r="X11" i="3" s="1"/>
  <c r="W78" i="3"/>
  <c r="W11" i="3" s="1"/>
  <c r="V78" i="3"/>
  <c r="X73" i="3"/>
  <c r="W73" i="3"/>
  <c r="X67" i="3"/>
  <c r="W67" i="3"/>
  <c r="V67" i="3"/>
  <c r="X66" i="3"/>
  <c r="W66" i="3"/>
  <c r="V66" i="3"/>
  <c r="X65" i="3"/>
  <c r="W65" i="3"/>
  <c r="W53" i="3" s="1"/>
  <c r="W50" i="3" s="1"/>
  <c r="X57" i="3"/>
  <c r="X53" i="3" s="1"/>
  <c r="W57" i="3"/>
  <c r="V57" i="3"/>
  <c r="X55" i="3"/>
  <c r="X116" i="3" s="1"/>
  <c r="W55" i="3"/>
  <c r="W116" i="3" s="1"/>
  <c r="V55" i="3"/>
  <c r="V116" i="3" s="1"/>
  <c r="W54" i="3"/>
  <c r="V54" i="3"/>
  <c r="V51" i="3" s="1"/>
  <c r="V115" i="3" s="1"/>
  <c r="X52" i="3"/>
  <c r="W52" i="3"/>
  <c r="W33" i="3" s="1"/>
  <c r="V52" i="3"/>
  <c r="V33" i="3" s="1"/>
  <c r="W51" i="3"/>
  <c r="W115" i="3" s="1"/>
  <c r="X43" i="3"/>
  <c r="W43" i="3"/>
  <c r="V43" i="3"/>
  <c r="X38" i="3"/>
  <c r="W38" i="3"/>
  <c r="V38" i="3"/>
  <c r="X37" i="3"/>
  <c r="W37" i="3"/>
  <c r="X33" i="3"/>
  <c r="X30" i="3"/>
  <c r="W30" i="3"/>
  <c r="V30" i="3"/>
  <c r="X23" i="3"/>
  <c r="X22" i="3" s="1"/>
  <c r="W23" i="3"/>
  <c r="W22" i="3" s="1"/>
  <c r="V23" i="3"/>
  <c r="V22" i="3" s="1"/>
  <c r="V17" i="3"/>
  <c r="Y17" i="3" s="1"/>
  <c r="W16" i="3"/>
  <c r="V16" i="3"/>
  <c r="X15" i="3"/>
  <c r="W15" i="3"/>
  <c r="W13" i="3" s="1"/>
  <c r="X14" i="3"/>
  <c r="W14" i="3"/>
  <c r="V14" i="3"/>
  <c r="X13" i="3"/>
  <c r="V11" i="3"/>
  <c r="O65" i="3"/>
  <c r="Y65" i="3" s="1"/>
  <c r="AI64" i="3"/>
  <c r="AJ65" i="3" s="1"/>
  <c r="V15" i="3" l="1"/>
  <c r="V13" i="3" s="1"/>
  <c r="Q171" i="3"/>
  <c r="W112" i="3"/>
  <c r="W32" i="3"/>
  <c r="X51" i="3"/>
  <c r="X54" i="3"/>
  <c r="X100" i="3"/>
  <c r="X111" i="3" s="1"/>
  <c r="X112" i="3" s="1"/>
  <c r="Q158" i="3"/>
  <c r="I16" i="3"/>
  <c r="V100" i="3"/>
  <c r="V111" i="3" s="1"/>
  <c r="W31" i="3"/>
  <c r="W10" i="3" s="1"/>
  <c r="W114" i="3"/>
  <c r="V53" i="3"/>
  <c r="V50" i="3" s="1"/>
  <c r="X50" i="3"/>
  <c r="X115" i="3" l="1"/>
  <c r="X32" i="3"/>
  <c r="V112" i="3"/>
  <c r="X114" i="3"/>
  <c r="X31" i="3"/>
  <c r="X10" i="3" s="1"/>
  <c r="V114" i="3"/>
  <c r="V31" i="3"/>
  <c r="V10" i="3" s="1"/>
  <c r="N14" i="3" l="1"/>
  <c r="M14" i="3"/>
  <c r="L14" i="3"/>
  <c r="K14" i="3"/>
  <c r="J14" i="3"/>
  <c r="P14" i="3"/>
  <c r="R14" i="3"/>
  <c r="O14" i="3"/>
  <c r="O105" i="3"/>
  <c r="O95" i="3"/>
  <c r="AI90" i="3"/>
  <c r="AI69" i="3"/>
  <c r="I14" i="3" l="1"/>
  <c r="N37" i="3"/>
  <c r="O37" i="3"/>
  <c r="P37" i="3"/>
  <c r="R37" i="3"/>
  <c r="M37" i="3"/>
  <c r="AG17" i="3" l="1"/>
  <c r="AG18" i="3"/>
  <c r="AG19" i="3"/>
  <c r="AG24" i="3"/>
  <c r="AG25" i="3"/>
  <c r="AG27" i="3"/>
  <c r="AG28" i="3"/>
  <c r="AG29" i="3"/>
  <c r="AG30" i="3"/>
  <c r="AG34" i="3"/>
  <c r="AG35" i="3"/>
  <c r="AG36" i="3"/>
  <c r="AG39" i="3"/>
  <c r="AG40" i="3"/>
  <c r="AG41" i="3"/>
  <c r="AG44" i="3"/>
  <c r="AG47" i="3"/>
  <c r="AG48" i="3"/>
  <c r="AG49" i="3"/>
  <c r="AG56" i="3"/>
  <c r="AG58" i="3"/>
  <c r="AG59" i="3"/>
  <c r="AG60" i="3"/>
  <c r="AG62" i="3"/>
  <c r="AG63" i="3"/>
  <c r="AG64" i="3"/>
  <c r="AG68" i="3"/>
  <c r="AG69" i="3"/>
  <c r="AG71" i="3"/>
  <c r="AG72" i="3"/>
  <c r="AG74" i="3"/>
  <c r="AG75" i="3"/>
  <c r="AG76" i="3"/>
  <c r="AG77" i="3"/>
  <c r="AG79" i="3"/>
  <c r="AG80" i="3"/>
  <c r="AG81" i="3"/>
  <c r="AG82" i="3"/>
  <c r="AG83" i="3"/>
  <c r="AG85" i="3"/>
  <c r="AG86" i="3"/>
  <c r="AG87" i="3"/>
  <c r="AG88" i="3"/>
  <c r="AG90" i="3"/>
  <c r="AG91" i="3"/>
  <c r="AG92" i="3"/>
  <c r="AG93" i="3"/>
  <c r="AG94" i="3"/>
  <c r="AG97" i="3"/>
  <c r="AG98" i="3"/>
  <c r="AG99" i="3"/>
  <c r="AG106" i="3"/>
  <c r="AG107" i="3"/>
  <c r="AG108" i="3"/>
  <c r="AG109" i="3"/>
  <c r="AG110" i="3"/>
  <c r="AG113" i="3"/>
  <c r="AG117" i="3"/>
  <c r="AG118" i="3"/>
  <c r="AG119" i="3"/>
  <c r="AG120" i="3"/>
  <c r="AG121" i="3"/>
  <c r="AG122" i="3"/>
  <c r="AG123" i="3"/>
  <c r="AG124" i="3"/>
  <c r="AG125" i="3"/>
  <c r="AG126" i="3"/>
  <c r="AG127" i="3"/>
  <c r="AG128" i="3"/>
  <c r="AG129" i="3"/>
  <c r="AG130" i="3"/>
  <c r="AG131" i="3"/>
  <c r="AG132" i="3"/>
  <c r="AG133" i="3"/>
  <c r="AG134" i="3"/>
  <c r="AG135" i="3"/>
  <c r="AG136" i="3"/>
  <c r="AG137" i="3"/>
  <c r="AG138" i="3"/>
  <c r="AG139" i="3"/>
  <c r="AG141" i="3"/>
  <c r="AE150" i="3"/>
  <c r="AE105" i="3"/>
  <c r="AE104" i="3"/>
  <c r="AE103" i="3"/>
  <c r="AE102" i="3"/>
  <c r="AE101" i="3"/>
  <c r="AE96" i="3"/>
  <c r="AE95" i="3" s="1"/>
  <c r="AE89" i="3"/>
  <c r="AE84" i="3"/>
  <c r="AE78" i="3"/>
  <c r="AE54" i="3" s="1"/>
  <c r="AE51" i="3" s="1"/>
  <c r="AE73" i="3"/>
  <c r="AE70" i="3"/>
  <c r="AE67" i="3"/>
  <c r="AE144" i="3" s="1"/>
  <c r="AE66" i="3"/>
  <c r="AE61" i="3"/>
  <c r="AE57" i="3"/>
  <c r="AE55" i="3"/>
  <c r="AE116" i="3" s="1"/>
  <c r="AE43" i="3"/>
  <c r="AE38" i="3"/>
  <c r="AE37" i="3"/>
  <c r="AE26" i="3"/>
  <c r="AE23" i="3" s="1"/>
  <c r="AE22" i="3" s="1"/>
  <c r="AE16" i="3"/>
  <c r="AE15" i="3"/>
  <c r="AE13" i="3" s="1"/>
  <c r="AE14" i="3"/>
  <c r="AE11" i="3" s="1"/>
  <c r="AE12" i="3"/>
  <c r="AE65" i="3" l="1"/>
  <c r="AE53" i="3"/>
  <c r="AE52" i="3"/>
  <c r="AE33" i="3" s="1"/>
  <c r="AE143" i="3"/>
  <c r="AE100" i="3"/>
  <c r="AE111" i="3" s="1"/>
  <c r="AE115" i="3"/>
  <c r="AE32" i="3"/>
  <c r="AE166" i="3"/>
  <c r="AE167" i="3"/>
  <c r="AE149" i="3"/>
  <c r="AE151" i="3" s="1"/>
  <c r="AE161" i="3"/>
  <c r="AE142" i="3"/>
  <c r="AE112" i="3" l="1"/>
  <c r="AE50" i="3"/>
  <c r="AE162" i="3"/>
  <c r="AE163" i="3" s="1"/>
  <c r="AE140" i="3"/>
  <c r="AE156" i="3" s="1"/>
  <c r="AE114" i="3" l="1"/>
  <c r="AE31" i="3"/>
  <c r="AE10" i="3" s="1"/>
  <c r="AE165" i="3" l="1"/>
  <c r="AA141" i="3" l="1"/>
  <c r="Z141" i="3"/>
  <c r="Y141" i="3"/>
  <c r="AA139" i="3"/>
  <c r="Z139" i="3"/>
  <c r="Y139" i="3"/>
  <c r="AA138" i="3"/>
  <c r="Z138" i="3"/>
  <c r="Y138" i="3"/>
  <c r="AA137" i="3"/>
  <c r="Z137" i="3"/>
  <c r="Y137" i="3"/>
  <c r="AA136" i="3"/>
  <c r="Z136" i="3"/>
  <c r="Y136" i="3"/>
  <c r="AA135" i="3"/>
  <c r="Z135" i="3"/>
  <c r="Y135" i="3"/>
  <c r="AA134" i="3"/>
  <c r="Z134" i="3"/>
  <c r="Y134" i="3"/>
  <c r="AA133" i="3"/>
  <c r="Z133" i="3"/>
  <c r="Y133" i="3"/>
  <c r="AA132" i="3"/>
  <c r="Z132" i="3"/>
  <c r="Y132" i="3"/>
  <c r="AA131" i="3"/>
  <c r="Z131" i="3"/>
  <c r="Y131" i="3"/>
  <c r="AA130" i="3"/>
  <c r="Z130" i="3"/>
  <c r="Y130" i="3"/>
  <c r="AA129" i="3"/>
  <c r="Z129" i="3"/>
  <c r="Y129" i="3"/>
  <c r="AA128" i="3"/>
  <c r="Z128" i="3"/>
  <c r="Y128" i="3"/>
  <c r="AA127" i="3"/>
  <c r="Z127" i="3"/>
  <c r="Y127" i="3"/>
  <c r="AA126" i="3"/>
  <c r="Z126" i="3"/>
  <c r="Y126" i="3"/>
  <c r="AA125" i="3"/>
  <c r="Z125" i="3"/>
  <c r="Y125" i="3"/>
  <c r="AA124" i="3"/>
  <c r="Z124" i="3"/>
  <c r="Y124" i="3"/>
  <c r="AA123" i="3"/>
  <c r="Z123" i="3"/>
  <c r="Y123" i="3"/>
  <c r="AA122" i="3"/>
  <c r="Z122" i="3"/>
  <c r="Y122" i="3"/>
  <c r="AA121" i="3"/>
  <c r="Z121" i="3"/>
  <c r="Y121" i="3"/>
  <c r="AA120" i="3"/>
  <c r="Z120" i="3"/>
  <c r="Y120" i="3"/>
  <c r="AA119" i="3"/>
  <c r="Z119" i="3"/>
  <c r="Y119" i="3"/>
  <c r="AA118" i="3"/>
  <c r="Z118" i="3"/>
  <c r="Y118" i="3"/>
  <c r="AA117" i="3"/>
  <c r="Z117" i="3"/>
  <c r="Y117" i="3"/>
  <c r="AA113" i="3"/>
  <c r="Z113" i="3"/>
  <c r="Y113" i="3"/>
  <c r="AA110" i="3"/>
  <c r="Z110" i="3"/>
  <c r="Y110" i="3"/>
  <c r="AA109" i="3"/>
  <c r="Z109" i="3"/>
  <c r="Y109" i="3"/>
  <c r="AA108" i="3"/>
  <c r="Z108" i="3"/>
  <c r="Y108" i="3"/>
  <c r="AA107" i="3"/>
  <c r="Z107" i="3"/>
  <c r="Y107" i="3"/>
  <c r="AA106" i="3"/>
  <c r="Z106" i="3"/>
  <c r="Y106" i="3"/>
  <c r="AA99" i="3"/>
  <c r="Z99" i="3"/>
  <c r="Y99" i="3"/>
  <c r="AA98" i="3"/>
  <c r="Z98" i="3"/>
  <c r="Y98" i="3"/>
  <c r="AA97" i="3"/>
  <c r="Z97" i="3"/>
  <c r="Y97" i="3"/>
  <c r="AA96" i="3"/>
  <c r="Z96" i="3"/>
  <c r="Y96" i="3"/>
  <c r="AA94" i="3"/>
  <c r="Z94" i="3"/>
  <c r="Y94" i="3"/>
  <c r="AA93" i="3"/>
  <c r="Z93" i="3"/>
  <c r="Y93" i="3"/>
  <c r="AA92" i="3"/>
  <c r="Z92" i="3"/>
  <c r="Y92" i="3"/>
  <c r="AA91" i="3"/>
  <c r="Z91" i="3"/>
  <c r="Y91" i="3"/>
  <c r="AA90" i="3"/>
  <c r="Z90" i="3"/>
  <c r="Y90" i="3"/>
  <c r="AA88" i="3"/>
  <c r="Z88" i="3"/>
  <c r="Y88" i="3"/>
  <c r="AA87" i="3"/>
  <c r="Z87" i="3"/>
  <c r="Y87" i="3"/>
  <c r="AA86" i="3"/>
  <c r="Z86" i="3"/>
  <c r="Y86" i="3"/>
  <c r="AA85" i="3"/>
  <c r="Z85" i="3"/>
  <c r="Y85" i="3"/>
  <c r="AA84" i="3"/>
  <c r="Z84" i="3"/>
  <c r="Y84" i="3"/>
  <c r="AA83" i="3"/>
  <c r="Z83" i="3"/>
  <c r="Y83" i="3"/>
  <c r="AA82" i="3"/>
  <c r="Z82" i="3"/>
  <c r="Y82" i="3"/>
  <c r="AA81" i="3"/>
  <c r="Z81" i="3"/>
  <c r="Y81" i="3"/>
  <c r="AA80" i="3"/>
  <c r="Z80" i="3"/>
  <c r="Y80" i="3"/>
  <c r="AA79" i="3"/>
  <c r="Z79" i="3"/>
  <c r="Y79" i="3"/>
  <c r="AA76" i="3"/>
  <c r="Z76" i="3"/>
  <c r="Y76" i="3"/>
  <c r="AA75" i="3"/>
  <c r="Z75" i="3"/>
  <c r="Y75" i="3"/>
  <c r="AA74" i="3"/>
  <c r="Z74" i="3"/>
  <c r="Y74" i="3"/>
  <c r="AA72" i="3"/>
  <c r="Z72" i="3"/>
  <c r="Y72" i="3"/>
  <c r="AA71" i="3"/>
  <c r="Z71" i="3"/>
  <c r="Y71" i="3"/>
  <c r="AA70" i="3"/>
  <c r="Z70" i="3"/>
  <c r="Y70" i="3"/>
  <c r="AA69" i="3"/>
  <c r="Z69" i="3"/>
  <c r="Y69" i="3"/>
  <c r="AA68" i="3"/>
  <c r="Z68" i="3"/>
  <c r="Y68" i="3"/>
  <c r="AA64" i="3"/>
  <c r="Z64" i="3"/>
  <c r="AA63" i="3"/>
  <c r="Z63" i="3"/>
  <c r="AA62" i="3"/>
  <c r="Z62" i="3"/>
  <c r="Y62" i="3"/>
  <c r="AA61" i="3"/>
  <c r="Z61" i="3"/>
  <c r="Y61" i="3"/>
  <c r="AA60" i="3"/>
  <c r="Z60" i="3"/>
  <c r="Y60" i="3"/>
  <c r="AA59" i="3"/>
  <c r="Z59" i="3"/>
  <c r="Y59" i="3"/>
  <c r="AA58" i="3"/>
  <c r="Z58" i="3"/>
  <c r="Y58" i="3"/>
  <c r="AA56" i="3"/>
  <c r="Z56" i="3"/>
  <c r="Y56" i="3"/>
  <c r="AA49" i="3"/>
  <c r="Z49" i="3"/>
  <c r="Y49" i="3"/>
  <c r="AA48" i="3"/>
  <c r="Z48" i="3"/>
  <c r="Y48" i="3"/>
  <c r="AA47" i="3"/>
  <c r="Z47" i="3"/>
  <c r="Y47" i="3"/>
  <c r="AA44" i="3"/>
  <c r="Z44" i="3"/>
  <c r="Y44" i="3"/>
  <c r="AA41" i="3"/>
  <c r="Z41" i="3"/>
  <c r="Y41" i="3"/>
  <c r="AA40" i="3"/>
  <c r="Z40" i="3"/>
  <c r="Y40" i="3"/>
  <c r="AA39" i="3"/>
  <c r="Z39" i="3"/>
  <c r="Y39" i="3"/>
  <c r="AA36" i="3"/>
  <c r="Z36" i="3"/>
  <c r="Y36" i="3"/>
  <c r="AA35" i="3"/>
  <c r="Z35" i="3"/>
  <c r="Y35" i="3"/>
  <c r="AA34" i="3"/>
  <c r="Z34" i="3"/>
  <c r="Y34" i="3"/>
  <c r="AA29" i="3"/>
  <c r="Z29" i="3"/>
  <c r="Y29" i="3"/>
  <c r="AA28" i="3"/>
  <c r="Z28" i="3"/>
  <c r="Y28" i="3"/>
  <c r="AA27" i="3"/>
  <c r="Z27" i="3"/>
  <c r="Y27" i="3"/>
  <c r="AA26" i="3"/>
  <c r="Z26" i="3"/>
  <c r="Y26" i="3"/>
  <c r="AA25" i="3"/>
  <c r="Z25" i="3"/>
  <c r="Y25" i="3"/>
  <c r="AA24" i="3"/>
  <c r="Z24" i="3"/>
  <c r="Y24" i="3"/>
  <c r="AA19" i="3"/>
  <c r="Z19" i="3"/>
  <c r="Y19" i="3"/>
  <c r="AA18" i="3"/>
  <c r="Z18" i="3"/>
  <c r="Y18" i="3"/>
  <c r="AA17" i="3"/>
  <c r="Z17" i="3"/>
  <c r="AA16" i="3"/>
  <c r="AA12" i="3"/>
  <c r="Z12" i="3"/>
  <c r="Y12" i="3"/>
  <c r="X143" i="3" l="1"/>
  <c r="W143" i="3"/>
  <c r="V143" i="3"/>
  <c r="X142" i="3" l="1"/>
  <c r="X140" i="3" s="1"/>
  <c r="W142" i="3"/>
  <c r="W140" i="3" s="1"/>
  <c r="V142" i="3"/>
  <c r="V140" i="3" s="1"/>
  <c r="U72" i="3" l="1"/>
  <c r="U28" i="3"/>
  <c r="O15" i="3" l="1"/>
  <c r="P15" i="3"/>
  <c r="R15" i="3"/>
  <c r="N15" i="3"/>
  <c r="AG15" i="3" s="1"/>
  <c r="AA15" i="3" l="1"/>
  <c r="Z15" i="3"/>
  <c r="Y15" i="3"/>
  <c r="S151" i="3"/>
  <c r="Z16" i="3"/>
  <c r="Y16" i="3"/>
  <c r="N73" i="3" l="1"/>
  <c r="AG73" i="3" s="1"/>
  <c r="N84" i="3"/>
  <c r="AG84" i="3" s="1"/>
  <c r="N103" i="3"/>
  <c r="AG103" i="3" s="1"/>
  <c r="N104" i="3"/>
  <c r="S25" i="3" l="1"/>
  <c r="AG104" i="3"/>
  <c r="N26" i="3"/>
  <c r="AG26" i="3" s="1"/>
  <c r="N61" i="3"/>
  <c r="AG61" i="3" s="1"/>
  <c r="N96" i="3"/>
  <c r="AG96" i="3" s="1"/>
  <c r="N70" i="3"/>
  <c r="AG70" i="3" l="1"/>
  <c r="N65" i="3"/>
  <c r="AG65" i="3" s="1"/>
  <c r="N23" i="3"/>
  <c r="AG23" i="3" s="1"/>
  <c r="N150" i="3"/>
  <c r="U15" i="3" l="1"/>
  <c r="U17" i="3"/>
  <c r="U18" i="3"/>
  <c r="U19" i="3"/>
  <c r="U24" i="3"/>
  <c r="U25" i="3"/>
  <c r="U26" i="3"/>
  <c r="U27" i="3"/>
  <c r="U29" i="3"/>
  <c r="U30" i="3"/>
  <c r="U34" i="3"/>
  <c r="U35" i="3"/>
  <c r="U36" i="3"/>
  <c r="U39" i="3"/>
  <c r="U40" i="3"/>
  <c r="U41" i="3"/>
  <c r="U44" i="3"/>
  <c r="U48" i="3"/>
  <c r="U49" i="3"/>
  <c r="U56" i="3"/>
  <c r="U58" i="3"/>
  <c r="U59" i="3"/>
  <c r="U60" i="3"/>
  <c r="U61" i="3"/>
  <c r="U62" i="3"/>
  <c r="U63" i="3"/>
  <c r="U64" i="3"/>
  <c r="U69" i="3"/>
  <c r="U70" i="3"/>
  <c r="U71" i="3"/>
  <c r="U73" i="3"/>
  <c r="U74" i="3"/>
  <c r="U75" i="3"/>
  <c r="U79" i="3"/>
  <c r="U80" i="3"/>
  <c r="U81" i="3"/>
  <c r="U82" i="3"/>
  <c r="U83" i="3"/>
  <c r="U84" i="3"/>
  <c r="U85" i="3"/>
  <c r="U86" i="3"/>
  <c r="U87" i="3"/>
  <c r="U88" i="3"/>
  <c r="U90" i="3"/>
  <c r="U91" i="3"/>
  <c r="U92" i="3"/>
  <c r="U93" i="3"/>
  <c r="U94" i="3"/>
  <c r="U96" i="3"/>
  <c r="U97" i="3"/>
  <c r="U98" i="3"/>
  <c r="U99" i="3"/>
  <c r="U106" i="3"/>
  <c r="U107" i="3"/>
  <c r="U108" i="3"/>
  <c r="U109" i="3"/>
  <c r="U110" i="3"/>
  <c r="U113" i="3"/>
  <c r="U117" i="3"/>
  <c r="U118" i="3"/>
  <c r="U119" i="3"/>
  <c r="U120" i="3"/>
  <c r="U121" i="3"/>
  <c r="U122" i="3"/>
  <c r="U123" i="3"/>
  <c r="U124" i="3"/>
  <c r="U125" i="3"/>
  <c r="U126" i="3"/>
  <c r="U127" i="3"/>
  <c r="U128" i="3"/>
  <c r="U129" i="3"/>
  <c r="U130" i="3"/>
  <c r="U131" i="3"/>
  <c r="U132" i="3"/>
  <c r="U133" i="3"/>
  <c r="U134" i="3"/>
  <c r="U135" i="3"/>
  <c r="U136" i="3"/>
  <c r="U137" i="3"/>
  <c r="U138" i="3"/>
  <c r="U139" i="3"/>
  <c r="U141" i="3"/>
  <c r="U145" i="3"/>
  <c r="T105" i="3"/>
  <c r="T104" i="3"/>
  <c r="U104" i="3" s="1"/>
  <c r="T103" i="3"/>
  <c r="U103" i="3" s="1"/>
  <c r="T102" i="3"/>
  <c r="T101" i="3"/>
  <c r="T95" i="3"/>
  <c r="T89" i="3"/>
  <c r="T78" i="3"/>
  <c r="T54" i="3" s="1"/>
  <c r="T51" i="3" s="1"/>
  <c r="T67" i="3"/>
  <c r="T52" i="3" s="1"/>
  <c r="T33" i="3" s="1"/>
  <c r="T66" i="3"/>
  <c r="T65" i="3"/>
  <c r="T57" i="3"/>
  <c r="T53" i="3" s="1"/>
  <c r="T55" i="3"/>
  <c r="T116" i="3" s="1"/>
  <c r="T43" i="3"/>
  <c r="T38" i="3"/>
  <c r="T37" i="3"/>
  <c r="T23" i="3"/>
  <c r="T22" i="3" s="1"/>
  <c r="T16" i="3"/>
  <c r="T14" i="3"/>
  <c r="T13" i="3"/>
  <c r="T12" i="3"/>
  <c r="T144" i="3" s="1"/>
  <c r="T149" i="3" l="1"/>
  <c r="U68" i="3"/>
  <c r="T100" i="3"/>
  <c r="T111" i="3" s="1"/>
  <c r="T112" i="3" s="1"/>
  <c r="T11" i="3"/>
  <c r="T143" i="3" s="1"/>
  <c r="T151" i="3"/>
  <c r="T32" i="3"/>
  <c r="T115" i="3"/>
  <c r="R73" i="3"/>
  <c r="R65" i="3" s="1"/>
  <c r="T50" i="3" l="1"/>
  <c r="T31" i="3" s="1"/>
  <c r="T10" i="3" s="1"/>
  <c r="T142" i="3" s="1"/>
  <c r="T140" i="3" s="1"/>
  <c r="Z65" i="3"/>
  <c r="Z73" i="3"/>
  <c r="Y73" i="3"/>
  <c r="AA65" i="3"/>
  <c r="AA73" i="3"/>
  <c r="T114" i="3" l="1"/>
  <c r="R54" i="3"/>
  <c r="AA54" i="3" s="1"/>
  <c r="AA78" i="3"/>
  <c r="AA11" i="3"/>
  <c r="R23" i="3"/>
  <c r="AA23" i="3" l="1"/>
  <c r="R22" i="3"/>
  <c r="AA22" i="3" s="1"/>
  <c r="O89" i="3"/>
  <c r="Y89" i="3" s="1"/>
  <c r="P105" i="3"/>
  <c r="Z105" i="3" s="1"/>
  <c r="R105" i="3"/>
  <c r="AA105" i="3" s="1"/>
  <c r="Y105" i="3"/>
  <c r="Y95" i="3"/>
  <c r="R95" i="3"/>
  <c r="AA95" i="3" s="1"/>
  <c r="R89" i="3"/>
  <c r="AA89" i="3" s="1"/>
  <c r="P89" i="3"/>
  <c r="Z89" i="3" s="1"/>
  <c r="P101" i="3"/>
  <c r="R101" i="3"/>
  <c r="O101" i="3"/>
  <c r="P103" i="3"/>
  <c r="R103" i="3"/>
  <c r="AA103" i="3" s="1"/>
  <c r="O103" i="3"/>
  <c r="P102" i="3"/>
  <c r="R102" i="3"/>
  <c r="O102" i="3"/>
  <c r="R104" i="3"/>
  <c r="R179" i="3" s="1"/>
  <c r="R187" i="3" s="1"/>
  <c r="P104" i="3"/>
  <c r="O104" i="3"/>
  <c r="O179" i="3" s="1"/>
  <c r="AA101" i="3" l="1"/>
  <c r="R180" i="3"/>
  <c r="R188" i="3" s="1"/>
  <c r="Z104" i="3"/>
  <c r="P179" i="3"/>
  <c r="P187" i="3" s="1"/>
  <c r="Z101" i="3"/>
  <c r="P180" i="3"/>
  <c r="P188" i="3" s="1"/>
  <c r="Y104" i="3"/>
  <c r="O187" i="3"/>
  <c r="AA102" i="3"/>
  <c r="R182" i="3"/>
  <c r="R190" i="3" s="1"/>
  <c r="Z102" i="3"/>
  <c r="P182" i="3"/>
  <c r="P190" i="3" s="1"/>
  <c r="Y102" i="3"/>
  <c r="O182" i="3"/>
  <c r="O190" i="3" s="1"/>
  <c r="Y101" i="3"/>
  <c r="O180" i="3"/>
  <c r="O188" i="3" s="1"/>
  <c r="Y103" i="3"/>
  <c r="AA104" i="3"/>
  <c r="Z103" i="3"/>
  <c r="O100" i="3"/>
  <c r="Y100" i="3" s="1"/>
  <c r="R100" i="3"/>
  <c r="AA100" i="3" s="1"/>
  <c r="P100" i="3"/>
  <c r="Z100" i="3" s="1"/>
  <c r="S26" i="3"/>
  <c r="R43" i="3" l="1"/>
  <c r="P43" i="3"/>
  <c r="O43" i="3"/>
  <c r="M43" i="3"/>
  <c r="L43" i="3"/>
  <c r="K43" i="3"/>
  <c r="J43" i="3"/>
  <c r="N43" i="3"/>
  <c r="I43" i="3" l="1"/>
  <c r="AG43" i="3"/>
  <c r="Y43" i="3"/>
  <c r="Z43" i="3"/>
  <c r="AA43" i="3"/>
  <c r="U43" i="3"/>
  <c r="N38" i="3"/>
  <c r="M38" i="3"/>
  <c r="U38" i="3" l="1"/>
  <c r="AG38" i="3"/>
  <c r="U37" i="3"/>
  <c r="AG37" i="3"/>
  <c r="U78" i="3" l="1"/>
  <c r="AG78" i="3"/>
  <c r="Y78" i="3"/>
  <c r="Y11" i="3"/>
  <c r="U47" i="3"/>
  <c r="O38" i="3" l="1"/>
  <c r="Y38" i="3" s="1"/>
  <c r="P38" i="3"/>
  <c r="Z38" i="3" s="1"/>
  <c r="R38" i="3"/>
  <c r="AA38" i="3" s="1"/>
  <c r="R57" i="3" l="1"/>
  <c r="R142" i="3" s="1"/>
  <c r="P57" i="3"/>
  <c r="Z57" i="3" s="1"/>
  <c r="AA57" i="3" l="1"/>
  <c r="M33" i="3"/>
  <c r="L33" i="3"/>
  <c r="K33" i="3"/>
  <c r="J33" i="3"/>
  <c r="AA142" i="3" l="1"/>
  <c r="N89" i="3"/>
  <c r="U65" i="3"/>
  <c r="N57" i="3"/>
  <c r="AG57" i="3" s="1"/>
  <c r="N95" i="3"/>
  <c r="P11" i="3"/>
  <c r="L38" i="3"/>
  <c r="K38" i="3"/>
  <c r="J38" i="3"/>
  <c r="L37" i="3"/>
  <c r="K37" i="3"/>
  <c r="J37" i="3"/>
  <c r="AA37" i="3"/>
  <c r="Z37" i="3"/>
  <c r="Y37" i="3"/>
  <c r="P23" i="3"/>
  <c r="O23" i="3"/>
  <c r="J23" i="3"/>
  <c r="I38" i="3" l="1"/>
  <c r="I37" i="3"/>
  <c r="Z23" i="3"/>
  <c r="U95" i="3"/>
  <c r="AG95" i="3"/>
  <c r="Y23" i="3"/>
  <c r="O22" i="3"/>
  <c r="U89" i="3"/>
  <c r="AG89" i="3"/>
  <c r="Z78" i="3"/>
  <c r="Z11" i="3"/>
  <c r="U57" i="3"/>
  <c r="N22" i="3"/>
  <c r="U23" i="3"/>
  <c r="AG16" i="3"/>
  <c r="U22" i="3" l="1"/>
  <c r="AG22" i="3"/>
  <c r="U16" i="3"/>
  <c r="AA14" i="3" l="1"/>
  <c r="Z14" i="3"/>
  <c r="Y14" i="3"/>
  <c r="AG14" i="3"/>
  <c r="U14" i="3" l="1"/>
  <c r="U11" i="3" l="1"/>
  <c r="AG11" i="3"/>
  <c r="P54" i="3"/>
  <c r="Z54" i="3" s="1"/>
  <c r="O54" i="3"/>
  <c r="N12" i="3"/>
  <c r="R67" i="3"/>
  <c r="AA67" i="3" s="1"/>
  <c r="P67" i="3"/>
  <c r="Z67" i="3" s="1"/>
  <c r="O67" i="3"/>
  <c r="Y67" i="3" s="1"/>
  <c r="N67" i="3"/>
  <c r="M67" i="3"/>
  <c r="L67" i="3"/>
  <c r="K67" i="3"/>
  <c r="R66" i="3"/>
  <c r="P66" i="3"/>
  <c r="O66" i="3"/>
  <c r="O149" i="3" s="1"/>
  <c r="N66" i="3"/>
  <c r="N143" i="3" s="1"/>
  <c r="N172" i="3" s="1"/>
  <c r="M66" i="3"/>
  <c r="M143" i="3" s="1"/>
  <c r="M172" i="3" s="1"/>
  <c r="L66" i="3"/>
  <c r="L143" i="3" s="1"/>
  <c r="L172" i="3" s="1"/>
  <c r="K66" i="3"/>
  <c r="J67" i="3"/>
  <c r="J66" i="3"/>
  <c r="R143" i="3" l="1"/>
  <c r="R172" i="3" s="1"/>
  <c r="R149" i="3"/>
  <c r="R151" i="3" s="1"/>
  <c r="I67" i="3"/>
  <c r="O163" i="3"/>
  <c r="O151" i="3"/>
  <c r="P143" i="3"/>
  <c r="P172" i="3" s="1"/>
  <c r="P149" i="3"/>
  <c r="P151" i="3" s="1"/>
  <c r="I66" i="3"/>
  <c r="O143" i="3"/>
  <c r="O172" i="3" s="1"/>
  <c r="U12" i="3"/>
  <c r="AG12" i="3"/>
  <c r="U67" i="3"/>
  <c r="AG67" i="3"/>
  <c r="AG66" i="3"/>
  <c r="N149" i="3"/>
  <c r="O51" i="3"/>
  <c r="O115" i="3" s="1"/>
  <c r="Y115" i="3" s="1"/>
  <c r="Y54" i="3"/>
  <c r="Y66" i="3"/>
  <c r="Z66" i="3"/>
  <c r="AA66" i="3"/>
  <c r="N144" i="3"/>
  <c r="U66" i="3"/>
  <c r="U149" i="3" s="1"/>
  <c r="P51" i="3"/>
  <c r="Z51" i="3" s="1"/>
  <c r="P55" i="3"/>
  <c r="Z55" i="3" s="1"/>
  <c r="P52" i="3"/>
  <c r="O55" i="3"/>
  <c r="O52" i="3"/>
  <c r="O33" i="3" s="1"/>
  <c r="R55" i="3"/>
  <c r="R52" i="3"/>
  <c r="N52" i="3"/>
  <c r="N55" i="3"/>
  <c r="I55" i="3" s="1"/>
  <c r="I52" i="3" l="1"/>
  <c r="Y143" i="3"/>
  <c r="AG144" i="3"/>
  <c r="N173" i="3"/>
  <c r="U144" i="3"/>
  <c r="AG143" i="3"/>
  <c r="U52" i="3"/>
  <c r="AG52" i="3"/>
  <c r="Y51" i="3"/>
  <c r="O32" i="3"/>
  <c r="Y32" i="3" s="1"/>
  <c r="U55" i="3"/>
  <c r="AG55" i="3"/>
  <c r="O116" i="3"/>
  <c r="Y116" i="3" s="1"/>
  <c r="Y55" i="3"/>
  <c r="R33" i="3"/>
  <c r="AA33" i="3" s="1"/>
  <c r="AA52" i="3"/>
  <c r="P33" i="3"/>
  <c r="Z33" i="3" s="1"/>
  <c r="Z52" i="3"/>
  <c r="R116" i="3"/>
  <c r="AA116" i="3" s="1"/>
  <c r="AA55" i="3"/>
  <c r="N167" i="3"/>
  <c r="Y33" i="3"/>
  <c r="Y52" i="3"/>
  <c r="N166" i="3"/>
  <c r="P116" i="3"/>
  <c r="Z116" i="3" s="1"/>
  <c r="P32" i="3"/>
  <c r="P115" i="3"/>
  <c r="Z115" i="3" s="1"/>
  <c r="N33" i="3"/>
  <c r="N116" i="3"/>
  <c r="AG33" i="3" l="1"/>
  <c r="I33" i="3"/>
  <c r="AG116" i="3"/>
  <c r="I116" i="3"/>
  <c r="Z32" i="3"/>
  <c r="U33" i="3"/>
  <c r="U116" i="3"/>
  <c r="P111" i="3" l="1"/>
  <c r="Z111" i="3" s="1"/>
  <c r="P95" i="3"/>
  <c r="P142" i="3" s="1"/>
  <c r="Z143" i="3" l="1"/>
  <c r="Z95" i="3"/>
  <c r="P53" i="3"/>
  <c r="R51" i="3"/>
  <c r="AA51" i="3" s="1"/>
  <c r="R13" i="3"/>
  <c r="P22" i="3"/>
  <c r="Z22" i="3" s="1"/>
  <c r="P13" i="3"/>
  <c r="AA13" i="3" l="1"/>
  <c r="Z142" i="3"/>
  <c r="Z13" i="3"/>
  <c r="Z53" i="3"/>
  <c r="R32" i="3"/>
  <c r="R115" i="3"/>
  <c r="AA115" i="3" s="1"/>
  <c r="P112" i="3"/>
  <c r="Z112" i="3" s="1"/>
  <c r="P50" i="3"/>
  <c r="AA143" i="3" l="1"/>
  <c r="P114" i="3"/>
  <c r="Z114" i="3" s="1"/>
  <c r="Z50" i="3"/>
  <c r="AA32" i="3"/>
  <c r="P31" i="3"/>
  <c r="Z31" i="3" s="1"/>
  <c r="M110" i="3"/>
  <c r="M109" i="3"/>
  <c r="M108" i="3"/>
  <c r="I108" i="3" s="1"/>
  <c r="M99" i="3"/>
  <c r="I99" i="3" s="1"/>
  <c r="M98" i="3"/>
  <c r="I98" i="3" s="1"/>
  <c r="P10" i="3" l="1"/>
  <c r="P171" i="3" s="1"/>
  <c r="M92" i="3"/>
  <c r="I92" i="3" s="1"/>
  <c r="M97" i="3"/>
  <c r="I97" i="3" s="1"/>
  <c r="M96" i="3"/>
  <c r="I96" i="3" s="1"/>
  <c r="M91" i="3"/>
  <c r="I91" i="3" s="1"/>
  <c r="M93" i="3"/>
  <c r="I93" i="3" s="1"/>
  <c r="M90" i="3"/>
  <c r="M71" i="3"/>
  <c r="I71" i="3" s="1"/>
  <c r="M70" i="3"/>
  <c r="M69" i="3"/>
  <c r="M59" i="3"/>
  <c r="M62" i="3"/>
  <c r="M60" i="3"/>
  <c r="M28" i="3"/>
  <c r="M25" i="3"/>
  <c r="M65" i="3" l="1"/>
  <c r="Z10" i="3"/>
  <c r="M89" i="3"/>
  <c r="M95" i="3"/>
  <c r="I95" i="3" s="1"/>
  <c r="M61" i="3" l="1"/>
  <c r="M26" i="3"/>
  <c r="M27" i="3"/>
  <c r="M23" i="3" l="1"/>
  <c r="M19" i="3"/>
  <c r="M56" i="3"/>
  <c r="M63" i="3"/>
  <c r="M54" i="3" l="1"/>
  <c r="M51" i="3"/>
  <c r="M32" i="3" s="1"/>
  <c r="I87" i="3" l="1"/>
  <c r="L73" i="3" l="1"/>
  <c r="L29" i="3" l="1"/>
  <c r="I29" i="3" s="1"/>
  <c r="R53" i="3" l="1"/>
  <c r="AA53" i="3" s="1"/>
  <c r="L69" i="3" l="1"/>
  <c r="L65" i="3" s="1"/>
  <c r="L110" i="3"/>
  <c r="L105" i="3" s="1"/>
  <c r="L100" i="3" s="1"/>
  <c r="M104" i="3"/>
  <c r="M103" i="3"/>
  <c r="S27" i="3"/>
  <c r="L103" i="3"/>
  <c r="L101" i="3"/>
  <c r="L90" i="3"/>
  <c r="I90" i="3" s="1"/>
  <c r="I103" i="3" l="1"/>
  <c r="N53" i="3"/>
  <c r="P140" i="3"/>
  <c r="P158" i="3" s="1"/>
  <c r="L89" i="3"/>
  <c r="I89" i="3" s="1"/>
  <c r="L104" i="3"/>
  <c r="L84" i="3"/>
  <c r="P157" i="3" l="1"/>
  <c r="Z140" i="3"/>
  <c r="U53" i="3"/>
  <c r="AG53" i="3"/>
  <c r="L64" i="3"/>
  <c r="O57" i="3"/>
  <c r="L60" i="3"/>
  <c r="Y57" i="3" l="1"/>
  <c r="O142" i="3"/>
  <c r="O53" i="3"/>
  <c r="Y53" i="3" s="1"/>
  <c r="L27" i="3"/>
  <c r="L23" i="3" s="1"/>
  <c r="O13" i="3"/>
  <c r="L17" i="3"/>
  <c r="L15" i="3" s="1"/>
  <c r="Y13" i="3" l="1"/>
  <c r="Y142" i="3"/>
  <c r="L13" i="3"/>
  <c r="L94" i="3"/>
  <c r="I94" i="3" s="1"/>
  <c r="L30" i="3"/>
  <c r="R30" i="3"/>
  <c r="AA30" i="3" s="1"/>
  <c r="P30" i="3"/>
  <c r="Z30" i="3" s="1"/>
  <c r="O30" i="3"/>
  <c r="Y30" i="3" s="1"/>
  <c r="I30" i="3" l="1"/>
  <c r="K62" i="3"/>
  <c r="I62" i="3" s="1"/>
  <c r="K27" i="3"/>
  <c r="I27" i="3" s="1"/>
  <c r="K73" i="3"/>
  <c r="K110" i="3" l="1"/>
  <c r="I110" i="3" s="1"/>
  <c r="K85" i="3"/>
  <c r="I85" i="3" s="1"/>
  <c r="K83" i="3"/>
  <c r="K70" i="3"/>
  <c r="K69" i="3"/>
  <c r="K64" i="3"/>
  <c r="K63" i="3"/>
  <c r="K60" i="3"/>
  <c r="I60" i="3" s="1"/>
  <c r="K61" i="3"/>
  <c r="I61" i="3" s="1"/>
  <c r="K56" i="3"/>
  <c r="K25" i="3"/>
  <c r="I25" i="3" s="1"/>
  <c r="K17" i="3"/>
  <c r="K65" i="3" l="1"/>
  <c r="L57" i="3"/>
  <c r="L142" i="3" s="1"/>
  <c r="M107" i="3"/>
  <c r="L53" i="3" l="1"/>
  <c r="L50" i="3" s="1"/>
  <c r="M101" i="3"/>
  <c r="N13" i="3"/>
  <c r="AG13" i="3" s="1"/>
  <c r="U13" i="3" l="1"/>
  <c r="L114" i="3"/>
  <c r="L31" i="3"/>
  <c r="N54" i="3"/>
  <c r="N151" i="3"/>
  <c r="U54" i="3" l="1"/>
  <c r="AG54" i="3"/>
  <c r="U143" i="3"/>
  <c r="N51" i="3"/>
  <c r="AG51" i="3" s="1"/>
  <c r="Y22" i="3"/>
  <c r="K28" i="3"/>
  <c r="I28" i="3" s="1"/>
  <c r="K109" i="3"/>
  <c r="I109" i="3" s="1"/>
  <c r="N32" i="3" l="1"/>
  <c r="U51" i="3"/>
  <c r="N115" i="3"/>
  <c r="N105" i="3"/>
  <c r="U105" i="3" l="1"/>
  <c r="AG105" i="3"/>
  <c r="U115" i="3"/>
  <c r="AG115" i="3"/>
  <c r="U32" i="3"/>
  <c r="AG32" i="3"/>
  <c r="N101" i="3"/>
  <c r="AG101" i="3" s="1"/>
  <c r="K59" i="3"/>
  <c r="I59" i="3" s="1"/>
  <c r="K102" i="3"/>
  <c r="U101" i="3" l="1"/>
  <c r="M102" i="3"/>
  <c r="M105" i="3"/>
  <c r="M100" i="3" l="1"/>
  <c r="N102" i="3"/>
  <c r="K123" i="3"/>
  <c r="I123" i="3" s="1"/>
  <c r="K122" i="3"/>
  <c r="I122" i="3" s="1"/>
  <c r="N161" i="3" l="1"/>
  <c r="N162" i="3" s="1"/>
  <c r="N163" i="3" s="1"/>
  <c r="AG102" i="3"/>
  <c r="S28" i="3"/>
  <c r="U102" i="3"/>
  <c r="N100" i="3"/>
  <c r="K129" i="3"/>
  <c r="I129" i="3" s="1"/>
  <c r="K128" i="3"/>
  <c r="I128" i="3" s="1"/>
  <c r="M149" i="3" l="1"/>
  <c r="N142" i="3"/>
  <c r="N140" i="3" s="1"/>
  <c r="AG100" i="3"/>
  <c r="U100" i="3"/>
  <c r="N111" i="3"/>
  <c r="AG111" i="3" s="1"/>
  <c r="N50" i="3"/>
  <c r="S53" i="3"/>
  <c r="K136" i="3"/>
  <c r="I136" i="3" s="1"/>
  <c r="M15" i="3"/>
  <c r="K26" i="3"/>
  <c r="I26" i="3" s="1"/>
  <c r="AG142" i="3" l="1"/>
  <c r="O161" i="3"/>
  <c r="N156" i="3"/>
  <c r="AG140" i="3"/>
  <c r="S50" i="3"/>
  <c r="S51" i="3" s="1"/>
  <c r="S52" i="3" s="1"/>
  <c r="AG50" i="3"/>
  <c r="N112" i="3"/>
  <c r="U111" i="3"/>
  <c r="U50" i="3"/>
  <c r="N114" i="3"/>
  <c r="K23" i="3"/>
  <c r="O50" i="3"/>
  <c r="O111" i="3"/>
  <c r="N31" i="3"/>
  <c r="M13" i="3"/>
  <c r="K107" i="3"/>
  <c r="I107" i="3" s="1"/>
  <c r="K22" i="3" l="1"/>
  <c r="I23" i="3"/>
  <c r="U114" i="3"/>
  <c r="AG114" i="3"/>
  <c r="N10" i="3"/>
  <c r="AG31" i="3"/>
  <c r="U112" i="3"/>
  <c r="AG112" i="3"/>
  <c r="O112" i="3"/>
  <c r="Y112" i="3" s="1"/>
  <c r="Y111" i="3"/>
  <c r="O114" i="3"/>
  <c r="Y114" i="3" s="1"/>
  <c r="Y50" i="3"/>
  <c r="U31" i="3"/>
  <c r="O31" i="3"/>
  <c r="K57" i="3"/>
  <c r="K15" i="3"/>
  <c r="O10" i="3" l="1"/>
  <c r="O171" i="3" s="1"/>
  <c r="Y31" i="3"/>
  <c r="AG10" i="3"/>
  <c r="N171" i="3"/>
  <c r="N165" i="3"/>
  <c r="U10" i="3"/>
  <c r="O140" i="3"/>
  <c r="K138" i="3"/>
  <c r="K121" i="3"/>
  <c r="I121" i="3" s="1"/>
  <c r="K120" i="3"/>
  <c r="I120" i="3" s="1"/>
  <c r="K81" i="3"/>
  <c r="K144" i="3" l="1"/>
  <c r="I144" i="3" s="1"/>
  <c r="I138" i="3"/>
  <c r="K78" i="3"/>
  <c r="O157" i="3"/>
  <c r="O158" i="3"/>
  <c r="O177" i="3"/>
  <c r="Y140" i="3"/>
  <c r="Y10" i="3"/>
  <c r="U142" i="3"/>
  <c r="K139" i="3"/>
  <c r="I139" i="3" s="1"/>
  <c r="K12" i="3"/>
  <c r="K118" i="3"/>
  <c r="I118" i="3" s="1"/>
  <c r="K119" i="3"/>
  <c r="K143" i="3" s="1"/>
  <c r="J104" i="3"/>
  <c r="J102" i="3"/>
  <c r="I102" i="3" s="1"/>
  <c r="J101" i="3"/>
  <c r="K104" i="3"/>
  <c r="L111" i="3"/>
  <c r="K101" i="3"/>
  <c r="K11" i="3" l="1"/>
  <c r="I104" i="3"/>
  <c r="K172" i="3"/>
  <c r="I12" i="3"/>
  <c r="K173" i="3"/>
  <c r="K35" i="3"/>
  <c r="I35" i="3" s="1"/>
  <c r="I119" i="3"/>
  <c r="I101" i="3"/>
  <c r="U140" i="3"/>
  <c r="K53" i="3"/>
  <c r="K100" i="3"/>
  <c r="K142" i="3" s="1"/>
  <c r="K34" i="3"/>
  <c r="I34" i="3" s="1"/>
  <c r="K50" i="3" l="1"/>
  <c r="K114" i="3" l="1"/>
  <c r="K31" i="3"/>
  <c r="L51" i="3" l="1"/>
  <c r="L32" i="3" s="1"/>
  <c r="K51" i="3"/>
  <c r="K32" i="3" s="1"/>
  <c r="M22" i="3"/>
  <c r="K54" i="3"/>
  <c r="L22" i="3"/>
  <c r="L10" i="3" s="1"/>
  <c r="L171" i="3" s="1"/>
  <c r="L54" i="3"/>
  <c r="M111" i="3"/>
  <c r="M57" i="3"/>
  <c r="M142" i="3" s="1"/>
  <c r="J57" i="3"/>
  <c r="J17" i="3"/>
  <c r="I17" i="3" s="1"/>
  <c r="K13" i="3"/>
  <c r="K10" i="3" s="1"/>
  <c r="K171" i="3" s="1"/>
  <c r="K111" i="3"/>
  <c r="J100" i="3"/>
  <c r="I100" i="3" s="1"/>
  <c r="K105" i="3"/>
  <c r="J105" i="3"/>
  <c r="I105" i="3" s="1"/>
  <c r="I57" i="3" l="1"/>
  <c r="M53" i="3"/>
  <c r="M50" i="3" s="1"/>
  <c r="M31" i="3" s="1"/>
  <c r="M10" i="3" s="1"/>
  <c r="M171" i="3" s="1"/>
  <c r="K112" i="3"/>
  <c r="K115" i="3"/>
  <c r="M115" i="3"/>
  <c r="L115" i="3"/>
  <c r="L112" i="3"/>
  <c r="K140" i="3"/>
  <c r="J111" i="3"/>
  <c r="J73" i="3"/>
  <c r="I73" i="3" s="1"/>
  <c r="M112" i="3" l="1"/>
  <c r="J83" i="3"/>
  <c r="I83" i="3" s="1"/>
  <c r="J63" i="3"/>
  <c r="I63" i="3" s="1"/>
  <c r="J64" i="3"/>
  <c r="I64" i="3" s="1"/>
  <c r="M114" i="3" l="1"/>
  <c r="M140" i="3"/>
  <c r="L140" i="3"/>
  <c r="J69" i="3"/>
  <c r="I69" i="3" s="1"/>
  <c r="J19" i="3"/>
  <c r="J15" i="3" l="1"/>
  <c r="I15" i="3" s="1"/>
  <c r="I19" i="3"/>
  <c r="J80" i="3"/>
  <c r="J81" i="3"/>
  <c r="I81" i="3" l="1"/>
  <c r="J143" i="3"/>
  <c r="J78" i="3"/>
  <c r="I80" i="3"/>
  <c r="J13" i="3"/>
  <c r="I13" i="3" s="1"/>
  <c r="J84" i="3"/>
  <c r="I84" i="3" s="1"/>
  <c r="I78" i="3" l="1"/>
  <c r="J11" i="3"/>
  <c r="I11" i="3" s="1"/>
  <c r="I143" i="3"/>
  <c r="J51" i="3"/>
  <c r="J54" i="3"/>
  <c r="I54" i="3" s="1"/>
  <c r="J56" i="3"/>
  <c r="I56" i="3" s="1"/>
  <c r="J172" i="3" l="1"/>
  <c r="J32" i="3"/>
  <c r="I32" i="3" s="1"/>
  <c r="I51" i="3"/>
  <c r="J115" i="3"/>
  <c r="I115" i="3" s="1"/>
  <c r="J22" i="3"/>
  <c r="I22" i="3" s="1"/>
  <c r="J70" i="3" l="1"/>
  <c r="J65" i="3" l="1"/>
  <c r="I65" i="3" s="1"/>
  <c r="I70" i="3"/>
  <c r="J142" i="3"/>
  <c r="I142" i="3" s="1"/>
  <c r="J53" i="3" l="1"/>
  <c r="I53" i="3" s="1"/>
  <c r="J112" i="3" l="1"/>
  <c r="J50" i="3"/>
  <c r="J31" i="3" l="1"/>
  <c r="J10" i="3"/>
  <c r="J114" i="3"/>
  <c r="J140" i="3"/>
  <c r="J171" i="3" l="1"/>
  <c r="R50" i="3"/>
  <c r="R111" i="3"/>
  <c r="AA111" i="3" l="1"/>
  <c r="I111" i="3"/>
  <c r="AA50" i="3"/>
  <c r="I50" i="3"/>
  <c r="R114" i="3"/>
  <c r="I114" i="3" s="1"/>
  <c r="R31" i="3"/>
  <c r="I31" i="3" s="1"/>
  <c r="R112" i="3"/>
  <c r="I112" i="3" s="1"/>
  <c r="AA112" i="3" l="1"/>
  <c r="R10" i="3"/>
  <c r="AA31" i="3"/>
  <c r="AA114" i="3"/>
  <c r="R171" i="3" l="1"/>
  <c r="I10" i="3"/>
  <c r="AA10" i="3"/>
  <c r="R140" i="3"/>
  <c r="I140" i="3" s="1"/>
  <c r="R157" i="3" l="1"/>
  <c r="R158" i="3"/>
  <c r="AA140" i="3"/>
</calcChain>
</file>

<file path=xl/sharedStrings.xml><?xml version="1.0" encoding="utf-8"?>
<sst xmlns="http://schemas.openxmlformats.org/spreadsheetml/2006/main" count="767" uniqueCount="129">
  <si>
    <t>№ п/п</t>
  </si>
  <si>
    <t>КОСГУ</t>
  </si>
  <si>
    <t>Коды классификации</t>
  </si>
  <si>
    <t xml:space="preserve">Распределение расходов на реализацию муниципальной программы </t>
  </si>
  <si>
    <t>целевая статья</t>
  </si>
  <si>
    <t>вид расходов</t>
  </si>
  <si>
    <t>всего</t>
  </si>
  <si>
    <t xml:space="preserve">Цели, задачи, наименования программных мероприятий </t>
  </si>
  <si>
    <t>Бюджет МО "Город Астрахань"</t>
  </si>
  <si>
    <t>Итого по муниципальной Программе</t>
  </si>
  <si>
    <t>Ответственные исполнители, соисполнители, участники</t>
  </si>
  <si>
    <t>Источники           финансирования</t>
  </si>
  <si>
    <t>х</t>
  </si>
  <si>
    <t>Муниципальная программа "Повышение уровня благоустройства и улучшение санитарного состояния города Астрахани"</t>
  </si>
  <si>
    <t>2016 год</t>
  </si>
  <si>
    <t>2017 год</t>
  </si>
  <si>
    <t xml:space="preserve">       2018 год</t>
  </si>
  <si>
    <t>Администрация Трусовского района</t>
  </si>
  <si>
    <t xml:space="preserve">Администрация Кировского района, </t>
  </si>
  <si>
    <t>Администрация Ленинского района</t>
  </si>
  <si>
    <t>Администрация Советского района</t>
  </si>
  <si>
    <t>Администрация  Кировского района</t>
  </si>
  <si>
    <t>Итого по Подпрограмме</t>
  </si>
  <si>
    <t>Планируемые расходы, руб.</t>
  </si>
  <si>
    <t>в том числе:</t>
  </si>
  <si>
    <t>Управление по коммунальному хозяйству и благоустройству администрации МО "Город Астрахань"</t>
  </si>
  <si>
    <t>Администрации Кировского района, Ленинского района, Трусовского района, Советского района</t>
  </si>
  <si>
    <t xml:space="preserve">Управление по коммунальному хозяйству и благоустройству администрации МО "Город Астрахань" </t>
  </si>
  <si>
    <t>Итого по Задаче 1.2</t>
  </si>
  <si>
    <t>Администрации Кировского района, Ленинского района, Советского района, Трусовского района города Астрахани</t>
  </si>
  <si>
    <t>Бюджет Астраханской области</t>
  </si>
  <si>
    <t>МБУ г. Астрахани "Чистый город"</t>
  </si>
  <si>
    <t>Управление по коммунальному хозяйству и благоустройству администрации МО "Город Астрахань" (МБУ г.Астрахани  "Зеленый город")</t>
  </si>
  <si>
    <t>муниципального образования "Город Астрахань" "Повышение уровня благоустройства и улучшение санитарного состояния города Астрахани"</t>
  </si>
  <si>
    <t xml:space="preserve">Администрация Кировского района </t>
  </si>
  <si>
    <t>2019 год</t>
  </si>
  <si>
    <t>Подпрограмма 2 "Формирование современной городской среды"</t>
  </si>
  <si>
    <t>Федеральный бюджет</t>
  </si>
  <si>
    <t>Итого по Задаче 2.1.</t>
  </si>
  <si>
    <t>Итого по Задаче 2.2</t>
  </si>
  <si>
    <t>Управление по коммунальному хозяйству и благоустройству администрации муниципального образования "Город Астрахань"</t>
  </si>
  <si>
    <t>Администрация Кировского района</t>
  </si>
  <si>
    <t>2020 год</t>
  </si>
  <si>
    <t>Управление по капитальному хозяйству и благоустройству администрации муниципального образования "Города Астрахани"</t>
  </si>
  <si>
    <t>2021 год</t>
  </si>
  <si>
    <t>2022 год</t>
  </si>
  <si>
    <t>2023 год</t>
  </si>
  <si>
    <t>ж</t>
  </si>
  <si>
    <t>Администрация Совесткого района</t>
  </si>
  <si>
    <t>Администрации Ленинского района,Трусовского района,Кировского района, Советского района</t>
  </si>
  <si>
    <r>
      <t xml:space="preserve">Цель 1. </t>
    </r>
    <r>
      <rPr>
        <sz val="13"/>
        <color theme="1"/>
        <rFont val="Times New Roman"/>
        <family val="1"/>
        <charset val="204"/>
      </rPr>
      <t>Поддержание благоустроенности и санитарного состояния муниципального образования «Город Астрахань»</t>
    </r>
  </si>
  <si>
    <r>
      <rPr>
        <b/>
        <sz val="13"/>
        <color theme="1"/>
        <rFont val="Times New Roman"/>
        <family val="1"/>
        <charset val="204"/>
      </rPr>
      <t>Задача 1.1.</t>
    </r>
    <r>
      <rPr>
        <sz val="13"/>
        <color theme="1"/>
        <rFont val="Times New Roman"/>
        <family val="1"/>
        <charset val="204"/>
      </rPr>
      <t xml:space="preserve"> Содержание, строительство и благоустройство мест захоронений</t>
    </r>
  </si>
  <si>
    <r>
      <rPr>
        <b/>
        <sz val="13"/>
        <color theme="1"/>
        <rFont val="Times New Roman"/>
        <family val="1"/>
        <charset val="204"/>
      </rPr>
      <t xml:space="preserve">Основное мероприятие 1.1.1. </t>
    </r>
    <r>
      <rPr>
        <sz val="13"/>
        <color theme="1"/>
        <rFont val="Times New Roman"/>
        <family val="1"/>
        <charset val="204"/>
      </rPr>
      <t>Организация и обеспечение надлежащей эксплуатации и содержание мест захоронений</t>
    </r>
  </si>
  <si>
    <r>
      <t xml:space="preserve">Мероприятие 2. </t>
    </r>
    <r>
      <rPr>
        <sz val="13"/>
        <color theme="1"/>
        <rFont val="Times New Roman"/>
        <family val="1"/>
        <charset val="204"/>
      </rPr>
      <t>Строительство кладбища</t>
    </r>
  </si>
  <si>
    <r>
      <t xml:space="preserve">Основное мероприятие 1.2.1. </t>
    </r>
    <r>
      <rPr>
        <sz val="13"/>
        <color theme="1"/>
        <rFont val="Times New Roman"/>
        <family val="1"/>
        <charset val="204"/>
      </rPr>
      <t>Освобождение земельных участков от незаконно установленных строений</t>
    </r>
  </si>
  <si>
    <r>
      <rPr>
        <b/>
        <sz val="13"/>
        <color theme="1"/>
        <rFont val="Times New Roman"/>
        <family val="1"/>
        <charset val="204"/>
      </rPr>
      <t xml:space="preserve">Основное мероприятие 1.3.1. </t>
    </r>
    <r>
      <rPr>
        <sz val="13"/>
        <color theme="1"/>
        <rFont val="Times New Roman"/>
        <family val="1"/>
        <charset val="204"/>
      </rPr>
      <t>Приобретение техники в лизинг</t>
    </r>
  </si>
  <si>
    <r>
      <rPr>
        <b/>
        <sz val="13"/>
        <color theme="1"/>
        <rFont val="Times New Roman"/>
        <family val="1"/>
        <charset val="204"/>
      </rPr>
      <t>Мероприятие 1</t>
    </r>
    <r>
      <rPr>
        <sz val="13"/>
        <color theme="1"/>
        <rFont val="Times New Roman"/>
        <family val="1"/>
        <charset val="204"/>
      </rPr>
      <t xml:space="preserve">. Закупка специализированной техники для муниципальныхучреждений дорожного и коммунального хозяйства </t>
    </r>
  </si>
  <si>
    <r>
      <t xml:space="preserve">Цель 1.1.  </t>
    </r>
    <r>
      <rPr>
        <sz val="13"/>
        <color theme="1"/>
        <rFont val="Times New Roman"/>
        <family val="1"/>
        <charset val="204"/>
      </rPr>
      <t>Поддержание благоприятных и комфортных условий для отдыха и досуга жителей города</t>
    </r>
  </si>
  <si>
    <r>
      <t>Задача 1.1.</t>
    </r>
    <r>
      <rPr>
        <sz val="13"/>
        <color theme="1"/>
        <rFont val="Times New Roman"/>
        <family val="1"/>
        <charset val="204"/>
      </rPr>
      <t xml:space="preserve">  Повышение уровня благоустроенности рекреационных зон в границах МО "Город Астрахань</t>
    </r>
    <r>
      <rPr>
        <b/>
        <sz val="13"/>
        <color theme="1"/>
        <rFont val="Times New Roman"/>
        <family val="1"/>
        <charset val="204"/>
      </rPr>
      <t>"</t>
    </r>
  </si>
  <si>
    <r>
      <rPr>
        <b/>
        <sz val="13"/>
        <color theme="1"/>
        <rFont val="Times New Roman"/>
        <family val="1"/>
        <charset val="204"/>
      </rPr>
      <t xml:space="preserve">Мероприятие 1.1.1. </t>
    </r>
    <r>
      <rPr>
        <sz val="13"/>
        <color theme="1"/>
        <rFont val="Times New Roman"/>
        <family val="1"/>
        <charset val="204"/>
      </rPr>
      <t>Паспортизация объектов внешнего благоустройства</t>
    </r>
  </si>
  <si>
    <r>
      <rPr>
        <b/>
        <sz val="13"/>
        <color theme="1"/>
        <rFont val="Times New Roman"/>
        <family val="1"/>
        <charset val="204"/>
      </rPr>
      <t xml:space="preserve">Мероприятие 1.1.2. </t>
    </r>
    <r>
      <rPr>
        <sz val="13"/>
        <color theme="1"/>
        <rFont val="Times New Roman"/>
        <family val="1"/>
        <charset val="204"/>
      </rPr>
      <t>Содержание зеленых насаждений и скос сорной растительности</t>
    </r>
  </si>
  <si>
    <r>
      <rPr>
        <b/>
        <sz val="13"/>
        <color theme="1"/>
        <rFont val="Times New Roman"/>
        <family val="1"/>
        <charset val="204"/>
      </rPr>
      <t xml:space="preserve">Мероприятие 1.1.4. </t>
    </r>
    <r>
      <rPr>
        <sz val="13"/>
        <color theme="1"/>
        <rFont val="Times New Roman"/>
        <family val="1"/>
        <charset val="204"/>
      </rPr>
      <t>Освещение города Астрахани</t>
    </r>
  </si>
  <si>
    <r>
      <rPr>
        <b/>
        <sz val="13"/>
        <color theme="1"/>
        <rFont val="Times New Roman"/>
        <family val="1"/>
        <charset val="204"/>
      </rPr>
      <t xml:space="preserve">Мероприятие 1.1.5. </t>
    </r>
    <r>
      <rPr>
        <sz val="13"/>
        <color theme="1"/>
        <rFont val="Times New Roman"/>
        <family val="1"/>
        <charset val="204"/>
      </rPr>
      <t xml:space="preserve">Текущие расходы по благоустройству </t>
    </r>
  </si>
  <si>
    <r>
      <t xml:space="preserve">Мероприятие 1.1.11. </t>
    </r>
    <r>
      <rPr>
        <sz val="13"/>
        <rFont val="Times New Roman"/>
        <family val="1"/>
        <charset val="204"/>
      </rPr>
      <t>Изготовление и установка аншлагов топонимических объектов</t>
    </r>
  </si>
  <si>
    <r>
      <t xml:space="preserve">Задача 1.2. </t>
    </r>
    <r>
      <rPr>
        <sz val="13"/>
        <color theme="1"/>
        <rFont val="Times New Roman"/>
        <family val="1"/>
        <charset val="204"/>
      </rPr>
      <t xml:space="preserve">Организация праздничного пространства на территории МО "Город Астрахань" </t>
    </r>
  </si>
  <si>
    <r>
      <t xml:space="preserve">Мероприятие 1.2.1. </t>
    </r>
    <r>
      <rPr>
        <sz val="13"/>
        <color theme="1"/>
        <rFont val="Times New Roman"/>
        <family val="1"/>
        <charset val="204"/>
      </rPr>
      <t>Организация и содержание новогодней ели и праздничной иллюминации</t>
    </r>
  </si>
  <si>
    <r>
      <t xml:space="preserve">Цель 2.1. </t>
    </r>
    <r>
      <rPr>
        <sz val="13"/>
        <color theme="1"/>
        <rFont val="Times New Roman"/>
        <family val="1"/>
        <charset val="204"/>
      </rPr>
      <t>Повышение качества и комфорта городской среды на территориии города Астрахани</t>
    </r>
  </si>
  <si>
    <r>
      <t xml:space="preserve">Задача 2.1. </t>
    </r>
    <r>
      <rPr>
        <sz val="13"/>
        <color theme="1"/>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</si>
  <si>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Мероприятие 2.1.1. </t>
    </r>
    <r>
      <rPr>
        <sz val="13"/>
        <color theme="1"/>
        <rFont val="Times New Roman"/>
        <family val="1"/>
        <charset val="204"/>
      </rPr>
      <t>Благоустройство дворовых территорий многоквартирных домов</t>
    </r>
  </si>
  <si>
    <r>
      <t xml:space="preserve">Мероприятие 2.1.2. </t>
    </r>
    <r>
      <rPr>
        <sz val="13"/>
        <color theme="1"/>
        <rFont val="Times New Roman"/>
        <family val="1"/>
        <charset val="204"/>
      </rPr>
      <t>Благоустройство муниципальных территорий общего пользования (парки, скверы, набережные и т.д.)</t>
    </r>
  </si>
  <si>
    <r>
      <t xml:space="preserve">Мероприятие 2.1.3. </t>
    </r>
    <r>
      <rPr>
        <sz val="13"/>
        <color theme="1"/>
        <rFont val="Times New Roman"/>
        <family val="1"/>
        <charset val="204"/>
      </rPr>
      <t>Разработка проектно-сметной документации по благоустройству дворовых территорий</t>
    </r>
  </si>
  <si>
    <r>
      <t xml:space="preserve">Мероприятие 2.2.1. </t>
    </r>
    <r>
      <rPr>
        <sz val="13"/>
        <color theme="1"/>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 Астрахань"</t>
    </r>
  </si>
  <si>
    <r>
      <rPr>
        <b/>
        <sz val="13"/>
        <color theme="1"/>
        <rFont val="Times New Roman"/>
        <family val="1"/>
        <charset val="204"/>
      </rPr>
      <t xml:space="preserve"> Мероприятие 1. </t>
    </r>
    <r>
      <rPr>
        <sz val="13"/>
        <color theme="1"/>
        <rFont val="Times New Roman"/>
        <family val="1"/>
        <charset val="204"/>
      </rPr>
      <t xml:space="preserve">  Демонтаж самовольно установленных строений</t>
    </r>
  </si>
  <si>
    <r>
      <rPr>
        <b/>
        <sz val="13"/>
        <color theme="1"/>
        <rFont val="Times New Roman"/>
        <family val="1"/>
        <charset val="204"/>
      </rPr>
      <t>Мероприятие 1.1.6.</t>
    </r>
    <r>
      <rPr>
        <sz val="13"/>
        <color theme="1"/>
        <rFont val="Times New Roman"/>
        <family val="1"/>
        <charset val="204"/>
      </rPr>
      <t>Организация мероприятий  при осуществлении деятельности по обращению с животными без владельцев</t>
    </r>
  </si>
  <si>
    <t>Управление по коммунальному хозяйству и благоустройству администрации МО "Город Астрахань"(МБУ г. Астрахани "Чистый город")</t>
  </si>
  <si>
    <t>Управление по коммунальному хозяйству и благоустройству администраци МО "Город Астрахань"</t>
  </si>
  <si>
    <t>Администрация муниципального образования "Город Астрахань" (Управление экономического развития муниципального образования "Город Астрахань")</t>
  </si>
  <si>
    <r>
      <t xml:space="preserve">Задача 2.2. </t>
    </r>
    <r>
      <rPr>
        <sz val="13"/>
        <color theme="1"/>
        <rFont val="Times New Roman"/>
        <family val="1"/>
        <charset val="204"/>
      </rPr>
      <t>Создание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 Астрахань"</t>
    </r>
  </si>
  <si>
    <t>Управление по каптальному строительству администрации муниципального образования "Город астрахань"</t>
  </si>
  <si>
    <r>
      <rPr>
        <b/>
        <sz val="13"/>
        <color theme="1"/>
        <rFont val="Times New Roman"/>
        <family val="1"/>
        <charset val="204"/>
      </rPr>
      <t xml:space="preserve">Мероприятие 1.1.8. </t>
    </r>
    <r>
      <rPr>
        <sz val="13"/>
        <color theme="1"/>
        <rFont val="Times New Roman"/>
        <family val="1"/>
        <charset val="204"/>
      </rPr>
      <t>Уборка улиц города</t>
    </r>
  </si>
  <si>
    <r>
      <t xml:space="preserve">Мероприятие 1.1.9. </t>
    </r>
    <r>
      <rPr>
        <sz val="13"/>
        <color theme="1"/>
        <rFont val="Times New Roman"/>
        <family val="1"/>
        <charset val="204"/>
      </rPr>
      <t>Создание условий для массового летнего отдыха населения города Астрахани</t>
    </r>
  </si>
  <si>
    <r>
      <t xml:space="preserve">Мероприятие 1.1.10.  </t>
    </r>
    <r>
      <rPr>
        <sz val="13"/>
        <rFont val="Times New Roman"/>
        <family val="1"/>
        <charset val="204"/>
      </rPr>
      <t>Благоустройство придомовых территорий</t>
    </r>
  </si>
  <si>
    <r>
      <t xml:space="preserve">Мероприятие 1.1.12. </t>
    </r>
    <r>
      <rPr>
        <sz val="13"/>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</si>
  <si>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r>
      <t xml:space="preserve">Мероприятие 1.1.14 </t>
    </r>
    <r>
      <rPr>
        <sz val="13"/>
        <rFont val="Times New Roman"/>
        <family val="1"/>
        <charset val="204"/>
      </rPr>
      <t>Обустройство контейнерных площадок</t>
    </r>
  </si>
  <si>
    <r>
      <rPr>
        <b/>
        <sz val="13"/>
        <color theme="1"/>
        <rFont val="Times New Roman"/>
        <family val="1"/>
        <charset val="204"/>
      </rPr>
      <t xml:space="preserve">Мероприятие 1.1.7. </t>
    </r>
    <r>
      <rPr>
        <sz val="13"/>
        <color theme="1"/>
        <rFont val="Times New Roman"/>
        <family val="1"/>
        <charset val="204"/>
      </rPr>
      <t>Устройство приюта для безнадзорных животных на 300 мест в Наримановском районе Астраханской области</t>
    </r>
  </si>
  <si>
    <r>
      <t xml:space="preserve">Мероприятие 1.1.11.   </t>
    </r>
    <r>
      <rPr>
        <sz val="13"/>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</si>
  <si>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r>
      <t xml:space="preserve">Мероприятие 1.1.13 </t>
    </r>
    <r>
      <rPr>
        <sz val="13"/>
        <rFont val="Times New Roman"/>
        <family val="1"/>
        <charset val="204"/>
      </rPr>
      <t>Развитие территориальных округов</t>
    </r>
  </si>
  <si>
    <r>
      <t xml:space="preserve">Задача 1.3. </t>
    </r>
    <r>
      <rPr>
        <sz val="13"/>
        <rFont val="Times New Roman"/>
        <family val="1"/>
        <charset val="204"/>
      </rPr>
      <t>Поддержание благоприятных и комфортных условий для отдыха и досуга жителей города</t>
    </r>
  </si>
  <si>
    <r>
      <t xml:space="preserve">Задача 1.4. </t>
    </r>
    <r>
      <rPr>
        <sz val="13"/>
        <color theme="1"/>
        <rFont val="Times New Roman"/>
        <family val="1"/>
        <charset val="204"/>
      </rPr>
      <t>Повышение качества и комфорта городской среды на территориии города Астрахани</t>
    </r>
  </si>
  <si>
    <r>
      <t xml:space="preserve">Задача 1.5. </t>
    </r>
    <r>
      <rPr>
        <sz val="13"/>
        <color theme="1"/>
        <rFont val="Times New Roman"/>
        <family val="1"/>
        <charset val="204"/>
      </rPr>
      <t>Повышение уровня материальной обеспеченности и качества эксплуатации коммунальной инфраструктуры</t>
    </r>
  </si>
  <si>
    <t>Управление по коммунальному хозяйству и благоустройству администрации МО "Город Астрахань", МБУ  г.Астрахани "Зеленый город"</t>
  </si>
  <si>
    <t>Итого</t>
  </si>
  <si>
    <t>Администрации Ленинского района, Кировского района, Трусовского района, Советского района</t>
  </si>
  <si>
    <t>Управление по коммунальному хозяйству и благоустройству администрации МО "Город Астрахань", Администрация муниципального образования "Город Астрахань" Администрации Кировского района, Ленинского района, Советского района, Трусовского района, МБУ  "Мосты и каналы"</t>
  </si>
  <si>
    <t xml:space="preserve">Начальник управления </t>
  </si>
  <si>
    <r>
      <t xml:space="preserve">Основное мероприятие 1.5.2.  </t>
    </r>
    <r>
      <rPr>
        <sz val="13"/>
        <rFont val="Times New Roman"/>
        <family val="1"/>
        <charset val="204"/>
      </rPr>
      <t>Оказание финансовой помощи в целях предупреждения банкротства муниципальных унитарных предприятий города Астрахани</t>
    </r>
  </si>
  <si>
    <t xml:space="preserve">Администрация Ленинского района </t>
  </si>
  <si>
    <t xml:space="preserve">Администрация Советского района </t>
  </si>
  <si>
    <t xml:space="preserve">Администрация Трусовского района </t>
  </si>
  <si>
    <r>
      <t xml:space="preserve">Основное мероприятие 1.5.1. </t>
    </r>
    <r>
      <rPr>
        <sz val="13"/>
        <rFont val="Times New Roman"/>
        <family val="1"/>
        <charset val="204"/>
      </rPr>
      <t>Погашение кредиторской задолженности за потребленный природный газ муниципальных теплоснабжающих предприятий муниципального образования  «Город Астрахань» перед юридическими лицами, осуществляющими поставки природного газа</t>
    </r>
  </si>
  <si>
    <r>
      <rPr>
        <b/>
        <sz val="13"/>
        <color theme="1"/>
        <rFont val="Times New Roman"/>
        <family val="1"/>
        <charset val="204"/>
      </rPr>
      <t>Задача 1.6.</t>
    </r>
    <r>
      <rPr>
        <sz val="13"/>
        <color theme="1"/>
        <rFont val="Times New Roman"/>
        <family val="1"/>
        <charset val="204"/>
      </rPr>
      <t xml:space="preserve"> Создание условий для обеспечения жителей города Астрахани услугами бытового обслуживания</t>
    </r>
  </si>
  <si>
    <r>
      <rPr>
        <b/>
        <sz val="13"/>
        <color theme="1"/>
        <rFont val="Times New Roman"/>
        <family val="1"/>
        <charset val="204"/>
      </rPr>
      <t>Основное мероприятие 1.6.1.</t>
    </r>
    <r>
      <rPr>
        <sz val="13"/>
        <color theme="1"/>
        <rFont val="Times New Roman"/>
        <family val="1"/>
        <charset val="204"/>
      </rPr>
      <t xml:space="preserve">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t>
    </r>
  </si>
  <si>
    <t>Управление по коммунальному  хозяйству и благоустройству администрации муниципального образования "Город Астрахань"</t>
  </si>
  <si>
    <t>*</t>
  </si>
  <si>
    <t xml:space="preserve"> "МБУ г. Астрахани "Чистый город"</t>
  </si>
  <si>
    <t>Подпрограмма 1. "Благоустройство территорий города для обеспечения отдыха и досуга жителей"</t>
  </si>
  <si>
    <t>Управление по коммунальному хозяйству администрации МО "Город Астрахань", МБУ  г. Астрахани "Чистый город"</t>
  </si>
  <si>
    <t>Управление по коммунальному хозяйству и благоустройству администрации МО "Город Астрахань", МБУ г. Астрахани  "Мосты и каналы"</t>
  </si>
  <si>
    <r>
      <t>Мероприятие 3.</t>
    </r>
    <r>
      <rPr>
        <sz val="13"/>
        <color theme="1"/>
        <rFont val="Times New Roman"/>
        <family val="1"/>
        <charset val="204"/>
      </rPr>
      <t xml:space="preserve"> Возмещение затрат специализированным службам по вопросам похоронного дела, связанных с погребением отдельных категорий умерших</t>
    </r>
  </si>
  <si>
    <r>
      <rPr>
        <b/>
        <sz val="13"/>
        <rFont val="Times New Roman"/>
        <family val="1"/>
        <charset val="204"/>
      </rPr>
      <t xml:space="preserve">Основное мероприятие 1.5.3.  </t>
    </r>
    <r>
      <rPr>
        <sz val="13"/>
        <rFont val="Times New Roman"/>
        <family val="1"/>
        <charset val="204"/>
      </rPr>
      <t xml:space="preserve">Проведение работ по ремонту сетей водоснабжения и водоотведения </t>
    </r>
  </si>
  <si>
    <t>Управление по коммунальному хозяйству администрации МО "Город Астрахань", МБУ  г. Астрахани "Чистый город", МБУ г. Астрахани "Зеленый город"</t>
  </si>
  <si>
    <t>2024 год</t>
  </si>
  <si>
    <t>по прилож 8</t>
  </si>
  <si>
    <t>кир</t>
  </si>
  <si>
    <t>лен</t>
  </si>
  <si>
    <t xml:space="preserve">сов </t>
  </si>
  <si>
    <t>трус</t>
  </si>
  <si>
    <t>По программе</t>
  </si>
  <si>
    <t>по свод росписи</t>
  </si>
  <si>
    <t>кредиторка тек расх</t>
  </si>
  <si>
    <t>в т.ч.кредиторка</t>
  </si>
  <si>
    <t>Т.Р. Калинкин</t>
  </si>
  <si>
    <t xml:space="preserve">Приложение 2 к муниципальной программе муниципального образования  "Город Астрахань"                                                                                                 "Повышение уровня благоустройства и улучшение санитарного состояния города Астрахани  </t>
  </si>
  <si>
    <t xml:space="preserve">Приложение 3 к постановлению администрации муниципального образования  "Город Астрахань"                                                                     от ____________________ № _______________                                                                                                                                                                                                                                                                                                                                                                                                                                                   </t>
  </si>
  <si>
    <r>
      <t xml:space="preserve">Задача 1.2. </t>
    </r>
    <r>
      <rPr>
        <sz val="13"/>
        <color theme="1"/>
        <rFont val="Times New Roman"/>
        <family val="1"/>
        <charset val="204"/>
      </rPr>
      <t>Благоустройство городских территорий освобожденных от незаконно установленных строений</t>
    </r>
  </si>
  <si>
    <t>Управление по коммунальному хозяйству и благоустройству администрации МО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 Астрахань" (Управление экономического развития муниципального образования "Город Астрахань", Управление по капитальному строительству администрации МО "Город Астрахань")</t>
  </si>
  <si>
    <t>Управление по коммунальному хозяйству и благоустройству администрации МО "Город Астрахань" (МБУ г. Астрахани "Чистый город")</t>
  </si>
  <si>
    <r>
      <t xml:space="preserve">Мероприятие 1.1.3 </t>
    </r>
    <r>
      <rPr>
        <sz val="13"/>
        <color theme="1"/>
        <rFont val="Times New Roman"/>
        <family val="1"/>
        <charset val="204"/>
      </rPr>
      <t>Комплексное содержание  парков, скверов, набережных</t>
    </r>
  </si>
  <si>
    <r>
      <rPr>
        <b/>
        <sz val="13"/>
        <color theme="1"/>
        <rFont val="Times New Roman"/>
        <family val="1"/>
        <charset val="204"/>
      </rPr>
      <t xml:space="preserve">Мероприятие 1. </t>
    </r>
    <r>
      <rPr>
        <sz val="13"/>
        <color theme="1"/>
        <rFont val="Times New Roman"/>
        <family val="1"/>
        <charset val="204"/>
      </rPr>
      <t>Содержание мест захоронений</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</si>
</sst>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_-;\-* #,##0.00\ _₽_-;_-* &quot;-&quot;??\ _₽_-;_-@_-"/>
  </numFmts>
  <fonts count="18" x14ac:knownFonts="1">
    <font>
      <sz val="11"/>
      <color theme="1"/>
      <name val="Calibri"/>
      <family val="2"/>
      <scheme val="minor"/>
    </font>
    <font>
      <sz val="11"/>
      <color indexed="8"/>
      <name val="Calibri"/>
      <family val="2"/>
      <charset val="204"/>
    </font>
    <font>
      <sz val="11"/>
      <color theme="1"/>
      <name val="Calibri"/>
      <family val="2"/>
      <scheme val="minor"/>
    </font>
    <font>
      <sz val="13"/>
      <color theme="1"/>
      <name val="Times New Roman"/>
      <family val="1"/>
      <charset val="204"/>
    </font>
    <font>
      <sz val="13"/>
      <name val="Times New Roman"/>
      <family val="1"/>
      <charset val="204"/>
    </font>
    <font>
      <b/>
      <sz val="13"/>
      <name val="Times New Roman"/>
      <family val="1"/>
      <charset val="204"/>
    </font>
    <font>
      <b/>
      <sz val="13"/>
      <color theme="1"/>
      <name val="Times New Roman"/>
      <family val="1"/>
      <charset val="204"/>
    </font>
    <font>
      <sz val="13"/>
      <color indexed="8"/>
      <name val="Times New Roman"/>
      <family val="1"/>
      <charset val="204"/>
    </font>
    <font>
      <b/>
      <sz val="16"/>
      <name val="Times New Roman"/>
      <family val="1"/>
      <charset val="204"/>
    </font>
    <font>
      <sz val="18"/>
      <color indexed="8"/>
      <name val="Times New Roman"/>
      <family val="1"/>
      <charset val="204"/>
    </font>
    <font>
      <sz val="18"/>
      <color theme="1"/>
      <name val="Times New Roman"/>
      <family val="1"/>
      <charset val="204"/>
    </font>
    <font>
      <sz val="10"/>
      <name val="Times New Roman"/>
      <family val="1"/>
      <charset val="204"/>
    </font>
    <font>
      <sz val="14"/>
      <color theme="1"/>
      <name val="Times New Roman"/>
      <family val="1"/>
      <charset val="204"/>
    </font>
    <font>
      <sz val="12"/>
      <color theme="1"/>
      <name val="Times New Roman"/>
      <family val="1"/>
      <charset val="204"/>
    </font>
    <font>
      <sz val="16"/>
      <color theme="1"/>
      <name val="Times New Roman"/>
      <family val="1"/>
      <charset val="204"/>
    </font>
    <font>
      <b/>
      <sz val="14"/>
      <color theme="1"/>
      <name val="Times New Roman"/>
      <family val="1"/>
      <charset val="204"/>
    </font>
    <font>
      <sz val="15"/>
      <color theme="1"/>
      <name val="Times New Roman"/>
      <family val="1"/>
      <charset val="204"/>
    </font>
    <font>
      <sz val="15"/>
      <name val="Times New Roman"/>
      <family val="1"/>
      <charset val="204"/>
    </font>
  </fonts>
  <fills count="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6"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1" fillId="0" borderId="0"/>
    <xf numFmtId="43" fontId="2" fillId="0" borderId="0" applyFont="0" applyFill="0" applyBorder="0" applyAlignment="0" applyProtection="0"/>
  </cellStyleXfs>
  <cellXfs count="147">
    <xf numFmtId="0" fontId="0" fillId="0" borderId="0" xfId="0"/>
    <xf numFmtId="4" fontId="3"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xf>
    <xf numFmtId="4" fontId="3" fillId="0" borderId="1" xfId="0" applyNumberFormat="1" applyFont="1" applyFill="1" applyBorder="1" applyAlignment="1">
      <alignment horizontal="center" vertical="center"/>
    </xf>
    <xf numFmtId="4" fontId="3" fillId="0" borderId="0" xfId="0" applyNumberFormat="1" applyFont="1" applyFill="1" applyBorder="1"/>
    <xf numFmtId="0" fontId="3" fillId="0" borderId="0" xfId="0" applyFont="1" applyFill="1" applyBorder="1"/>
    <xf numFmtId="4" fontId="3" fillId="0" borderId="1" xfId="0" applyNumberFormat="1" applyFont="1" applyFill="1" applyBorder="1"/>
    <xf numFmtId="4" fontId="3" fillId="0" borderId="7" xfId="0" applyNumberFormat="1" applyFont="1" applyFill="1" applyBorder="1" applyAlignment="1">
      <alignment horizontal="center" vertical="center"/>
    </xf>
    <xf numFmtId="0" fontId="3" fillId="0" borderId="0" xfId="0" applyFont="1" applyFill="1"/>
    <xf numFmtId="0" fontId="3" fillId="0" borderId="1" xfId="0" applyFont="1" applyFill="1" applyBorder="1" applyAlignment="1">
      <alignment horizontal="center" vertical="center"/>
    </xf>
    <xf numFmtId="0" fontId="3" fillId="0" borderId="7" xfId="0" applyFont="1" applyFill="1" applyBorder="1" applyAlignment="1">
      <alignment horizontal="center"/>
    </xf>
    <xf numFmtId="0" fontId="3" fillId="0" borderId="1" xfId="0" applyFont="1" applyFill="1" applyBorder="1" applyAlignment="1">
      <alignment horizontal="center"/>
    </xf>
    <xf numFmtId="4" fontId="6" fillId="0" borderId="1" xfId="0" applyNumberFormat="1" applyFont="1" applyFill="1" applyBorder="1" applyAlignment="1">
      <alignment horizontal="center" vertical="center"/>
    </xf>
    <xf numFmtId="4" fontId="6" fillId="0" borderId="1" xfId="0" applyNumberFormat="1" applyFont="1" applyFill="1" applyBorder="1"/>
    <xf numFmtId="4" fontId="3" fillId="0" borderId="0" xfId="0" applyNumberFormat="1" applyFont="1" applyFill="1"/>
    <xf numFmtId="4" fontId="3" fillId="0" borderId="7" xfId="0" applyNumberFormat="1" applyFont="1" applyFill="1" applyBorder="1"/>
    <xf numFmtId="0" fontId="3" fillId="0" borderId="7" xfId="0" applyFont="1" applyFill="1" applyBorder="1"/>
    <xf numFmtId="0" fontId="3" fillId="0" borderId="1" xfId="0" applyFont="1" applyFill="1" applyBorder="1"/>
    <xf numFmtId="0" fontId="4" fillId="0" borderId="2" xfId="0" applyFont="1" applyFill="1" applyBorder="1" applyAlignment="1">
      <alignment horizontal="center" vertical="center" wrapText="1"/>
    </xf>
    <xf numFmtId="4" fontId="6" fillId="0" borderId="1" xfId="0" applyNumberFormat="1" applyFont="1" applyFill="1" applyBorder="1" applyAlignment="1">
      <alignment horizontal="center" vertical="center" wrapText="1"/>
    </xf>
    <xf numFmtId="0" fontId="4" fillId="0" borderId="0" xfId="0" applyFont="1" applyFill="1" applyAlignment="1">
      <alignment wrapText="1"/>
    </xf>
    <xf numFmtId="0" fontId="4" fillId="0" borderId="0" xfId="0" applyFont="1" applyFill="1" applyAlignment="1">
      <alignment vertical="top" wrapText="1"/>
    </xf>
    <xf numFmtId="0" fontId="4" fillId="0" borderId="0" xfId="0" applyFont="1" applyFill="1" applyAlignment="1">
      <alignment horizontal="left" wrapText="1"/>
    </xf>
    <xf numFmtId="0" fontId="3" fillId="0" borderId="6" xfId="0" applyFont="1" applyFill="1" applyBorder="1" applyAlignment="1">
      <alignment horizontal="center" vertical="center"/>
    </xf>
    <xf numFmtId="4" fontId="6" fillId="0" borderId="0" xfId="0" applyNumberFormat="1" applyFont="1" applyFill="1" applyBorder="1"/>
    <xf numFmtId="0" fontId="6" fillId="0" borderId="0" xfId="0" applyFont="1" applyFill="1"/>
    <xf numFmtId="0" fontId="11" fillId="0" borderId="0" xfId="0" applyFont="1" applyFill="1" applyBorder="1" applyAlignment="1">
      <alignment horizontal="center" vertical="center" wrapText="1"/>
    </xf>
    <xf numFmtId="0" fontId="12" fillId="0" borderId="0" xfId="0" applyFont="1" applyFill="1"/>
    <xf numFmtId="0" fontId="12" fillId="0" borderId="0" xfId="0" applyFont="1" applyFill="1" applyAlignment="1"/>
    <xf numFmtId="0" fontId="0" fillId="0" borderId="0" xfId="0" applyFill="1"/>
    <xf numFmtId="3" fontId="3" fillId="0" borderId="0" xfId="0" applyNumberFormat="1" applyFont="1" applyFill="1" applyBorder="1" applyAlignment="1">
      <alignment horizontal="center"/>
    </xf>
    <xf numFmtId="0" fontId="9" fillId="0" borderId="0" xfId="1" applyFont="1" applyFill="1" applyAlignment="1">
      <alignment horizontal="center" vertical="center" wrapText="1"/>
    </xf>
    <xf numFmtId="0" fontId="10"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8" xfId="0" applyFont="1" applyFill="1" applyBorder="1" applyAlignment="1">
      <alignment horizontal="center" vertical="center" wrapText="1"/>
    </xf>
    <xf numFmtId="4" fontId="13" fillId="0" borderId="0" xfId="0" applyNumberFormat="1" applyFont="1" applyFill="1" applyAlignment="1">
      <alignment horizontal="left" vertical="center"/>
    </xf>
    <xf numFmtId="4" fontId="0" fillId="0" borderId="0" xfId="0" applyNumberFormat="1" applyFill="1"/>
    <xf numFmtId="0" fontId="14" fillId="0" borderId="0" xfId="0" applyFont="1" applyFill="1"/>
    <xf numFmtId="0" fontId="6" fillId="0" borderId="0" xfId="0" applyFont="1" applyFill="1" applyBorder="1"/>
    <xf numFmtId="4" fontId="3" fillId="0" borderId="0" xfId="0" applyNumberFormat="1" applyFont="1" applyFill="1" applyBorder="1" applyAlignment="1">
      <alignment horizontal="center" vertical="center"/>
    </xf>
    <xf numFmtId="4" fontId="3" fillId="3" borderId="1" xfId="0" applyNumberFormat="1" applyFont="1" applyFill="1" applyBorder="1" applyAlignment="1">
      <alignment horizontal="center" vertical="center"/>
    </xf>
    <xf numFmtId="4" fontId="4" fillId="3" borderId="1" xfId="0" applyNumberFormat="1" applyFont="1" applyFill="1" applyBorder="1" applyAlignment="1">
      <alignment horizontal="center" vertical="center"/>
    </xf>
    <xf numFmtId="4" fontId="3" fillId="3" borderId="1" xfId="0" applyNumberFormat="1" applyFont="1" applyFill="1" applyBorder="1" applyAlignment="1">
      <alignment horizontal="center" vertical="center" wrapText="1"/>
    </xf>
    <xf numFmtId="4" fontId="4" fillId="3" borderId="1" xfId="0" applyNumberFormat="1" applyFont="1" applyFill="1" applyBorder="1" applyAlignment="1">
      <alignment horizontal="center" vertical="center" wrapText="1"/>
    </xf>
    <xf numFmtId="4" fontId="3" fillId="4" borderId="1" xfId="0" applyNumberFormat="1" applyFont="1" applyFill="1" applyBorder="1" applyAlignment="1">
      <alignment horizontal="center" vertical="center"/>
    </xf>
    <xf numFmtId="4" fontId="3" fillId="5" borderId="1" xfId="0" applyNumberFormat="1" applyFont="1" applyFill="1" applyBorder="1" applyAlignment="1">
      <alignment horizontal="center" vertical="center"/>
    </xf>
    <xf numFmtId="0" fontId="10"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applyBorder="1" applyAlignment="1">
      <alignment vertical="center"/>
    </xf>
    <xf numFmtId="4" fontId="3" fillId="0" borderId="0" xfId="0" applyNumberFormat="1" applyFont="1" applyFill="1" applyBorder="1" applyAlignment="1">
      <alignment vertical="center"/>
    </xf>
    <xf numFmtId="4" fontId="6" fillId="0" borderId="0" xfId="0" applyNumberFormat="1" applyFont="1" applyFill="1" applyBorder="1" applyAlignment="1">
      <alignment vertical="center"/>
    </xf>
    <xf numFmtId="0" fontId="6" fillId="0" borderId="0" xfId="0" applyFont="1" applyFill="1" applyAlignment="1">
      <alignment vertical="center"/>
    </xf>
    <xf numFmtId="0" fontId="0" fillId="0" borderId="0" xfId="0" applyFill="1" applyAlignment="1">
      <alignment vertical="center"/>
    </xf>
    <xf numFmtId="0" fontId="16" fillId="0" borderId="0" xfId="0" applyFont="1" applyFill="1" applyAlignment="1">
      <alignment vertical="top" wrapText="1"/>
    </xf>
    <xf numFmtId="0" fontId="17" fillId="2" borderId="0" xfId="0" applyFont="1" applyFill="1" applyAlignment="1">
      <alignment vertical="center" wrapText="1"/>
    </xf>
    <xf numFmtId="4" fontId="3" fillId="2" borderId="1" xfId="0" applyNumberFormat="1" applyFont="1" applyFill="1" applyBorder="1" applyAlignment="1">
      <alignment horizontal="center" vertical="center"/>
    </xf>
    <xf numFmtId="4" fontId="4" fillId="2" borderId="1" xfId="0" applyNumberFormat="1" applyFont="1" applyFill="1" applyBorder="1" applyAlignment="1">
      <alignment horizontal="center" vertical="center"/>
    </xf>
    <xf numFmtId="4" fontId="3" fillId="2" borderId="7"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1" xfId="0" applyNumberFormat="1" applyFont="1" applyFill="1" applyBorder="1" applyAlignment="1">
      <alignment horizontal="center" vertical="center"/>
    </xf>
    <xf numFmtId="4" fontId="3" fillId="2" borderId="1" xfId="0" applyNumberFormat="1" applyFont="1" applyFill="1" applyBorder="1"/>
    <xf numFmtId="4"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7" fillId="2" borderId="1" xfId="1" applyFont="1" applyFill="1" applyBorder="1" applyAlignment="1">
      <alignment horizontal="center" vertical="center" wrapText="1"/>
    </xf>
    <xf numFmtId="0" fontId="7" fillId="2" borderId="1" xfId="1" applyFont="1" applyFill="1" applyBorder="1" applyAlignment="1">
      <alignment horizontal="left" vertical="center" wrapText="1"/>
    </xf>
    <xf numFmtId="4" fontId="6" fillId="2" borderId="1" xfId="0" applyNumberFormat="1" applyFont="1" applyFill="1" applyBorder="1" applyAlignment="1">
      <alignment horizontal="center" vertical="center" wrapText="1"/>
    </xf>
    <xf numFmtId="4" fontId="6" fillId="2" borderId="1"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4" fontId="3" fillId="2" borderId="6" xfId="0" applyNumberFormat="1" applyFont="1" applyFill="1" applyBorder="1" applyAlignment="1">
      <alignment horizontal="center" vertical="center"/>
    </xf>
    <xf numFmtId="4" fontId="3" fillId="2" borderId="1" xfId="2" applyNumberFormat="1" applyFont="1" applyFill="1" applyBorder="1" applyAlignment="1">
      <alignment horizontal="center" vertical="center" wrapText="1"/>
    </xf>
    <xf numFmtId="4" fontId="5" fillId="2" borderId="1" xfId="0" applyNumberFormat="1" applyFont="1" applyFill="1" applyBorder="1" applyAlignment="1">
      <alignment horizontal="center" vertical="center" wrapText="1"/>
    </xf>
    <xf numFmtId="4" fontId="6" fillId="2" borderId="1" xfId="0" applyNumberFormat="1" applyFont="1" applyFill="1" applyBorder="1"/>
    <xf numFmtId="0" fontId="3" fillId="2" borderId="0" xfId="0" applyFont="1" applyFill="1"/>
    <xf numFmtId="0" fontId="11" fillId="2" borderId="0" xfId="0" applyFont="1" applyFill="1" applyBorder="1" applyAlignment="1">
      <alignment horizontal="center" vertical="center" wrapText="1"/>
    </xf>
    <xf numFmtId="0" fontId="12" fillId="2" borderId="0" xfId="0" applyFont="1" applyFill="1"/>
    <xf numFmtId="0" fontId="12" fillId="2" borderId="0" xfId="0" applyFont="1" applyFill="1" applyAlignment="1"/>
    <xf numFmtId="2" fontId="3" fillId="2" borderId="1" xfId="0" applyNumberFormat="1" applyFont="1" applyFill="1" applyBorder="1" applyAlignment="1">
      <alignment horizontal="center" vertical="center" wrapText="1"/>
    </xf>
    <xf numFmtId="2" fontId="3" fillId="2" borderId="7" xfId="0" applyNumberFormat="1" applyFont="1" applyFill="1" applyBorder="1" applyAlignment="1">
      <alignment horizontal="center" vertical="center" wrapText="1"/>
    </xf>
    <xf numFmtId="2" fontId="3" fillId="2" borderId="8"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4" fontId="4" fillId="2" borderId="1" xfId="2" applyNumberFormat="1" applyFont="1" applyFill="1" applyBorder="1" applyAlignment="1">
      <alignment horizontal="center" vertical="center" wrapText="1"/>
    </xf>
    <xf numFmtId="2" fontId="3" fillId="2" borderId="7" xfId="0" applyNumberFormat="1" applyFont="1" applyFill="1" applyBorder="1" applyAlignment="1">
      <alignment horizontal="center" vertical="center"/>
    </xf>
    <xf numFmtId="2" fontId="5" fillId="2" borderId="1" xfId="0" applyNumberFormat="1"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0" fontId="3" fillId="2" borderId="1" xfId="0" applyFont="1" applyFill="1" applyBorder="1" applyAlignment="1">
      <alignment vertical="center" wrapText="1"/>
    </xf>
    <xf numFmtId="0" fontId="4" fillId="2" borderId="6" xfId="0" applyFont="1" applyFill="1" applyBorder="1" applyAlignment="1">
      <alignment vertical="center" wrapText="1"/>
    </xf>
    <xf numFmtId="2" fontId="6" fillId="2" borderId="9" xfId="0" applyNumberFormat="1" applyFont="1" applyFill="1" applyBorder="1" applyAlignment="1">
      <alignment vertical="center" wrapText="1"/>
    </xf>
    <xf numFmtId="2" fontId="6" fillId="2" borderId="0" xfId="0" applyNumberFormat="1" applyFont="1" applyFill="1" applyBorder="1" applyAlignment="1">
      <alignment vertical="center" wrapText="1"/>
    </xf>
    <xf numFmtId="2" fontId="6" fillId="2" borderId="10" xfId="0" applyNumberFormat="1" applyFont="1" applyFill="1" applyBorder="1" applyAlignment="1">
      <alignment vertical="center" wrapText="1"/>
    </xf>
    <xf numFmtId="0" fontId="4" fillId="2" borderId="8" xfId="0" applyFont="1" applyFill="1" applyBorder="1" applyAlignment="1">
      <alignment vertical="center" wrapText="1"/>
    </xf>
    <xf numFmtId="2" fontId="6" fillId="2" borderId="11" xfId="0" applyNumberFormat="1" applyFont="1" applyFill="1" applyBorder="1" applyAlignment="1">
      <alignment vertical="center" wrapText="1"/>
    </xf>
    <xf numFmtId="2" fontId="6" fillId="2" borderId="5" xfId="0" applyNumberFormat="1" applyFont="1" applyFill="1" applyBorder="1" applyAlignment="1">
      <alignment vertical="center" wrapText="1"/>
    </xf>
    <xf numFmtId="2" fontId="6" fillId="2" borderId="12" xfId="0" applyNumberFormat="1" applyFont="1" applyFill="1" applyBorder="1" applyAlignment="1">
      <alignment vertical="center" wrapText="1"/>
    </xf>
    <xf numFmtId="0" fontId="3" fillId="0" borderId="0" xfId="0" applyFont="1" applyFill="1" applyAlignment="1">
      <alignment horizontal="center" vertical="center"/>
    </xf>
    <xf numFmtId="2" fontId="3" fillId="2" borderId="1" xfId="0"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2" fontId="3" fillId="2" borderId="7" xfId="0" applyNumberFormat="1" applyFont="1" applyFill="1" applyBorder="1" applyAlignment="1">
      <alignment horizontal="center" vertical="center" wrapText="1"/>
    </xf>
    <xf numFmtId="2" fontId="3" fillId="2" borderId="8" xfId="0" applyNumberFormat="1" applyFont="1" applyFill="1" applyBorder="1" applyAlignment="1">
      <alignment horizontal="center" vertical="center" wrapText="1"/>
    </xf>
    <xf numFmtId="2" fontId="6" fillId="2" borderId="2" xfId="0" applyNumberFormat="1" applyFont="1" applyFill="1" applyBorder="1" applyAlignment="1">
      <alignment horizontal="center" vertical="center" wrapText="1"/>
    </xf>
    <xf numFmtId="2" fontId="6" fillId="2" borderId="4" xfId="0" applyNumberFormat="1" applyFont="1" applyFill="1" applyBorder="1" applyAlignment="1">
      <alignment horizontal="center" vertical="center" wrapText="1"/>
    </xf>
    <xf numFmtId="2" fontId="6" fillId="2" borderId="3"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2" fontId="6" fillId="2" borderId="7" xfId="0" applyNumberFormat="1" applyFont="1" applyFill="1" applyBorder="1" applyAlignment="1">
      <alignment horizontal="center" vertical="center" wrapText="1"/>
    </xf>
    <xf numFmtId="2" fontId="6" fillId="2" borderId="8" xfId="0" applyNumberFormat="1" applyFont="1" applyFill="1" applyBorder="1" applyAlignment="1">
      <alignment horizontal="center" vertical="center" wrapText="1"/>
    </xf>
    <xf numFmtId="2" fontId="15" fillId="2" borderId="9" xfId="0" applyNumberFormat="1" applyFont="1" applyFill="1" applyBorder="1" applyAlignment="1">
      <alignment horizontal="center" vertical="center" wrapText="1"/>
    </xf>
    <xf numFmtId="2" fontId="15" fillId="2" borderId="0" xfId="0" applyNumberFormat="1" applyFont="1" applyFill="1" applyBorder="1" applyAlignment="1">
      <alignment horizontal="center" vertical="center" wrapText="1"/>
    </xf>
    <xf numFmtId="2" fontId="15" fillId="2" borderId="10" xfId="0" applyNumberFormat="1" applyFont="1" applyFill="1" applyBorder="1" applyAlignment="1">
      <alignment horizontal="center" vertical="center" wrapText="1"/>
    </xf>
    <xf numFmtId="2" fontId="3" fillId="2" borderId="6" xfId="0" applyNumberFormat="1" applyFont="1" applyFill="1" applyBorder="1" applyAlignment="1">
      <alignment horizontal="center" vertical="center" wrapText="1"/>
    </xf>
    <xf numFmtId="0" fontId="16" fillId="0" borderId="0" xfId="0" applyFont="1" applyFill="1" applyAlignment="1">
      <alignment horizontal="left" vertical="top" wrapText="1"/>
    </xf>
    <xf numFmtId="0" fontId="17" fillId="2" borderId="0" xfId="0" applyFont="1" applyFill="1" applyAlignment="1">
      <alignment horizontal="left" vertical="center" wrapText="1"/>
    </xf>
    <xf numFmtId="2" fontId="6" fillId="2" borderId="6" xfId="0" applyNumberFormat="1" applyFont="1" applyFill="1" applyBorder="1" applyAlignment="1">
      <alignment horizontal="center" vertical="center" wrapText="1"/>
    </xf>
    <xf numFmtId="2" fontId="5" fillId="2" borderId="7" xfId="0" applyNumberFormat="1" applyFont="1" applyFill="1" applyBorder="1" applyAlignment="1">
      <alignment horizontal="center" vertical="center" wrapText="1"/>
    </xf>
    <xf numFmtId="2" fontId="5" fillId="2" borderId="6" xfId="0" applyNumberFormat="1" applyFont="1" applyFill="1" applyBorder="1" applyAlignment="1">
      <alignment horizontal="center" vertical="center" wrapText="1"/>
    </xf>
    <xf numFmtId="2" fontId="5" fillId="2" borderId="8" xfId="0" applyNumberFormat="1"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xf numFmtId="0" fontId="8" fillId="0" borderId="5" xfId="0" applyFont="1" applyFill="1" applyBorder="1" applyAlignment="1">
      <alignment horizontal="center" vertical="top" wrapText="1"/>
    </xf>
    <xf numFmtId="0" fontId="8" fillId="0" borderId="1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8" xfId="0" applyFont="1" applyFill="1" applyBorder="1" applyAlignment="1">
      <alignment horizontal="center" vertical="center"/>
    </xf>
    <xf numFmtId="0" fontId="4" fillId="0" borderId="0" xfId="0" applyFont="1" applyFill="1" applyBorder="1" applyAlignment="1">
      <alignment vertical="top" wrapText="1"/>
    </xf>
    <xf numFmtId="0" fontId="4" fillId="2" borderId="0" xfId="0" applyFont="1" applyFill="1" applyBorder="1" applyAlignment="1">
      <alignment horizontal="center" vertical="center" wrapText="1"/>
    </xf>
    <xf numFmtId="2" fontId="3" fillId="2" borderId="2" xfId="0" applyNumberFormat="1" applyFont="1" applyFill="1" applyBorder="1" applyAlignment="1">
      <alignment horizontal="center" vertical="center" wrapText="1"/>
    </xf>
    <xf numFmtId="2" fontId="3" fillId="2" borderId="4" xfId="0" applyNumberFormat="1" applyFont="1" applyFill="1" applyBorder="1" applyAlignment="1">
      <alignment horizontal="center" vertical="center" wrapText="1"/>
    </xf>
    <xf numFmtId="2" fontId="3" fillId="2" borderId="3" xfId="0" applyNumberFormat="1" applyFont="1" applyFill="1" applyBorder="1" applyAlignment="1">
      <alignment horizontal="center" vertical="center" wrapText="1"/>
    </xf>
    <xf numFmtId="4" fontId="4" fillId="2" borderId="0" xfId="0" applyNumberFormat="1" applyFont="1" applyFill="1" applyBorder="1" applyAlignment="1">
      <alignment horizontal="center" vertical="center" wrapText="1"/>
    </xf>
    <xf numFmtId="0" fontId="7" fillId="2" borderId="0" xfId="1" applyFont="1" applyFill="1" applyAlignment="1">
      <alignment horizontal="center"/>
    </xf>
    <xf numFmtId="0" fontId="9" fillId="2" borderId="0" xfId="1" applyFont="1" applyFill="1" applyAlignment="1">
      <alignment horizontal="center" vertical="center" wrapText="1"/>
    </xf>
    <xf numFmtId="0" fontId="10" fillId="2" borderId="0" xfId="0" applyFont="1" applyFill="1" applyAlignment="1">
      <alignment horizontal="left" vertical="center"/>
    </xf>
    <xf numFmtId="2" fontId="15" fillId="2" borderId="2" xfId="0" applyNumberFormat="1" applyFont="1" applyFill="1" applyBorder="1" applyAlignment="1">
      <alignment horizontal="center" vertical="center" wrapText="1"/>
    </xf>
    <xf numFmtId="2" fontId="15" fillId="2" borderId="4" xfId="0" applyNumberFormat="1" applyFont="1" applyFill="1" applyBorder="1" applyAlignment="1">
      <alignment horizontal="center" vertical="center" wrapText="1"/>
    </xf>
    <xf numFmtId="2" fontId="15" fillId="2" borderId="3" xfId="0" applyNumberFormat="1" applyFont="1" applyFill="1" applyBorder="1" applyAlignment="1">
      <alignment horizontal="center" vertical="center" wrapText="1"/>
    </xf>
  </cellXfs>
  <cellStyles count="3">
    <cellStyle name="Excel Built-in Normal" xfId="1"/>
    <cellStyle name="Обычный" xfId="0" builtinId="0"/>
    <cellStyle name="Финансовый" xfId="2"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207"/>
  <sheetViews>
    <sheetView tabSelected="1" view="pageBreakPreview" zoomScale="70" zoomScaleSheetLayoutView="70" zoomScalePageLayoutView="40" workbookViewId="0">
      <pane xSplit="4" ySplit="9" topLeftCell="L129" activePane="bottomRight" state="frozen"/>
      <selection pane="topRight" activeCell="E1" sqref="E1"/>
      <selection pane="bottomLeft" activeCell="A9" sqref="A9"/>
      <selection pane="bottomRight" activeCell="D142" sqref="D142"/>
    </sheetView>
  </sheetViews>
  <sheetFormatPr defaultColWidth="11.5703125" defaultRowHeight="16.5" x14ac:dyDescent="0.25"/>
  <cols>
    <col min="1" max="1" width="5.5703125" style="9" customWidth="1"/>
    <col min="2" max="2" width="42" style="9" customWidth="1"/>
    <col min="3" max="3" width="51.7109375" style="9" customWidth="1"/>
    <col min="4" max="4" width="27.140625" style="9" customWidth="1"/>
    <col min="5" max="5" width="9.7109375" style="9" customWidth="1"/>
    <col min="6" max="6" width="9.140625" style="9" customWidth="1"/>
    <col min="7" max="7" width="9" style="9" customWidth="1"/>
    <col min="8" max="8" width="9.7109375" style="9" customWidth="1"/>
    <col min="9" max="9" width="21.140625" style="9" customWidth="1"/>
    <col min="10" max="10" width="19.5703125" style="9" customWidth="1"/>
    <col min="11" max="11" width="20.7109375" style="9" customWidth="1"/>
    <col min="12" max="12" width="20" style="9" customWidth="1"/>
    <col min="13" max="13" width="21" style="9" customWidth="1"/>
    <col min="14" max="14" width="21.7109375" style="9" customWidth="1"/>
    <col min="15" max="15" width="23.140625" style="9" customWidth="1"/>
    <col min="16" max="16" width="21.5703125" style="9" customWidth="1"/>
    <col min="17" max="18" width="23.85546875" style="9" customWidth="1"/>
    <col min="19" max="19" width="27.7109375" style="9" hidden="1" customWidth="1"/>
    <col min="20" max="20" width="21.7109375" style="9" hidden="1" customWidth="1"/>
    <col min="21" max="21" width="17.28515625" style="9" hidden="1" customWidth="1"/>
    <col min="22" max="22" width="22.28515625" style="9" customWidth="1"/>
    <col min="23" max="24" width="20" style="9" customWidth="1"/>
    <col min="25" max="25" width="20" style="48" customWidth="1"/>
    <col min="26" max="27" width="17.28515625" style="9" customWidth="1"/>
    <col min="28" max="28" width="26" style="9" customWidth="1"/>
    <col min="29" max="29" width="19.42578125" style="9" customWidth="1"/>
    <col min="30" max="30" width="11.5703125" style="9" customWidth="1"/>
    <col min="31" max="31" width="21.7109375" style="9" customWidth="1"/>
    <col min="32" max="34" width="11.5703125" style="9" customWidth="1"/>
    <col min="35" max="35" width="17.28515625" style="9" bestFit="1" customWidth="1"/>
    <col min="36" max="36" width="16" style="9" bestFit="1" customWidth="1"/>
    <col min="37" max="239" width="11.5703125" style="9"/>
    <col min="240" max="240" width="4.5703125" style="9" customWidth="1"/>
    <col min="241" max="241" width="29.140625" style="9" customWidth="1"/>
    <col min="242" max="242" width="14.140625" style="9" customWidth="1"/>
    <col min="243" max="243" width="11.5703125" style="9"/>
    <col min="244" max="244" width="10" style="9" customWidth="1"/>
    <col min="245" max="245" width="19.85546875" style="9" customWidth="1"/>
    <col min="246" max="246" width="12.28515625" style="9" customWidth="1"/>
    <col min="247" max="247" width="10" style="9" customWidth="1"/>
    <col min="248" max="248" width="10.140625" style="9" customWidth="1"/>
    <col min="249" max="249" width="10.28515625" style="9" customWidth="1"/>
    <col min="250" max="250" width="10.42578125" style="9" customWidth="1"/>
    <col min="251" max="252" width="10.85546875" style="9" customWidth="1"/>
    <col min="253" max="253" width="9.7109375" style="9" customWidth="1"/>
    <col min="254" max="254" width="12.85546875" style="9" customWidth="1"/>
    <col min="255" max="495" width="11.5703125" style="9"/>
    <col min="496" max="496" width="4.5703125" style="9" customWidth="1"/>
    <col min="497" max="497" width="29.140625" style="9" customWidth="1"/>
    <col min="498" max="498" width="14.140625" style="9" customWidth="1"/>
    <col min="499" max="499" width="11.5703125" style="9"/>
    <col min="500" max="500" width="10" style="9" customWidth="1"/>
    <col min="501" max="501" width="19.85546875" style="9" customWidth="1"/>
    <col min="502" max="502" width="12.28515625" style="9" customWidth="1"/>
    <col min="503" max="503" width="10" style="9" customWidth="1"/>
    <col min="504" max="504" width="10.140625" style="9" customWidth="1"/>
    <col min="505" max="505" width="10.28515625" style="9" customWidth="1"/>
    <col min="506" max="506" width="10.42578125" style="9" customWidth="1"/>
    <col min="507" max="508" width="10.85546875" style="9" customWidth="1"/>
    <col min="509" max="509" width="9.7109375" style="9" customWidth="1"/>
    <col min="510" max="510" width="12.85546875" style="9" customWidth="1"/>
    <col min="511" max="751" width="11.5703125" style="9"/>
    <col min="752" max="752" width="4.5703125" style="9" customWidth="1"/>
    <col min="753" max="753" width="29.140625" style="9" customWidth="1"/>
    <col min="754" max="754" width="14.140625" style="9" customWidth="1"/>
    <col min="755" max="755" width="11.5703125" style="9"/>
    <col min="756" max="756" width="10" style="9" customWidth="1"/>
    <col min="757" max="757" width="19.85546875" style="9" customWidth="1"/>
    <col min="758" max="758" width="12.28515625" style="9" customWidth="1"/>
    <col min="759" max="759" width="10" style="9" customWidth="1"/>
    <col min="760" max="760" width="10.140625" style="9" customWidth="1"/>
    <col min="761" max="761" width="10.28515625" style="9" customWidth="1"/>
    <col min="762" max="762" width="10.42578125" style="9" customWidth="1"/>
    <col min="763" max="764" width="10.85546875" style="9" customWidth="1"/>
    <col min="765" max="765" width="9.7109375" style="9" customWidth="1"/>
    <col min="766" max="766" width="12.85546875" style="9" customWidth="1"/>
    <col min="767" max="1007" width="11.5703125" style="9"/>
    <col min="1008" max="1008" width="4.5703125" style="9" customWidth="1"/>
    <col min="1009" max="1009" width="29.140625" style="9" customWidth="1"/>
    <col min="1010" max="1010" width="14.140625" style="9" customWidth="1"/>
    <col min="1011" max="1011" width="11.5703125" style="9"/>
    <col min="1012" max="1012" width="10" style="9" customWidth="1"/>
    <col min="1013" max="1013" width="19.85546875" style="9" customWidth="1"/>
    <col min="1014" max="1014" width="12.28515625" style="9" customWidth="1"/>
    <col min="1015" max="1015" width="10" style="9" customWidth="1"/>
    <col min="1016" max="1016" width="10.140625" style="9" customWidth="1"/>
    <col min="1017" max="1017" width="10.28515625" style="9" customWidth="1"/>
    <col min="1018" max="1018" width="10.42578125" style="9" customWidth="1"/>
    <col min="1019" max="1020" width="10.85546875" style="9" customWidth="1"/>
    <col min="1021" max="1021" width="9.7109375" style="9" customWidth="1"/>
    <col min="1022" max="1022" width="12.85546875" style="9" customWidth="1"/>
    <col min="1023" max="1263" width="11.5703125" style="9"/>
    <col min="1264" max="1264" width="4.5703125" style="9" customWidth="1"/>
    <col min="1265" max="1265" width="29.140625" style="9" customWidth="1"/>
    <col min="1266" max="1266" width="14.140625" style="9" customWidth="1"/>
    <col min="1267" max="1267" width="11.5703125" style="9"/>
    <col min="1268" max="1268" width="10" style="9" customWidth="1"/>
    <col min="1269" max="1269" width="19.85546875" style="9" customWidth="1"/>
    <col min="1270" max="1270" width="12.28515625" style="9" customWidth="1"/>
    <col min="1271" max="1271" width="10" style="9" customWidth="1"/>
    <col min="1272" max="1272" width="10.140625" style="9" customWidth="1"/>
    <col min="1273" max="1273" width="10.28515625" style="9" customWidth="1"/>
    <col min="1274" max="1274" width="10.42578125" style="9" customWidth="1"/>
    <col min="1275" max="1276" width="10.85546875" style="9" customWidth="1"/>
    <col min="1277" max="1277" width="9.7109375" style="9" customWidth="1"/>
    <col min="1278" max="1278" width="12.85546875" style="9" customWidth="1"/>
    <col min="1279" max="1519" width="11.5703125" style="9"/>
    <col min="1520" max="1520" width="4.5703125" style="9" customWidth="1"/>
    <col min="1521" max="1521" width="29.140625" style="9" customWidth="1"/>
    <col min="1522" max="1522" width="14.140625" style="9" customWidth="1"/>
    <col min="1523" max="1523" width="11.5703125" style="9"/>
    <col min="1524" max="1524" width="10" style="9" customWidth="1"/>
    <col min="1525" max="1525" width="19.85546875" style="9" customWidth="1"/>
    <col min="1526" max="1526" width="12.28515625" style="9" customWidth="1"/>
    <col min="1527" max="1527" width="10" style="9" customWidth="1"/>
    <col min="1528" max="1528" width="10.140625" style="9" customWidth="1"/>
    <col min="1529" max="1529" width="10.28515625" style="9" customWidth="1"/>
    <col min="1530" max="1530" width="10.42578125" style="9" customWidth="1"/>
    <col min="1531" max="1532" width="10.85546875" style="9" customWidth="1"/>
    <col min="1533" max="1533" width="9.7109375" style="9" customWidth="1"/>
    <col min="1534" max="1534" width="12.85546875" style="9" customWidth="1"/>
    <col min="1535" max="1775" width="11.5703125" style="9"/>
    <col min="1776" max="1776" width="4.5703125" style="9" customWidth="1"/>
    <col min="1777" max="1777" width="29.140625" style="9" customWidth="1"/>
    <col min="1778" max="1778" width="14.140625" style="9" customWidth="1"/>
    <col min="1779" max="1779" width="11.5703125" style="9"/>
    <col min="1780" max="1780" width="10" style="9" customWidth="1"/>
    <col min="1781" max="1781" width="19.85546875" style="9" customWidth="1"/>
    <col min="1782" max="1782" width="12.28515625" style="9" customWidth="1"/>
    <col min="1783" max="1783" width="10" style="9" customWidth="1"/>
    <col min="1784" max="1784" width="10.140625" style="9" customWidth="1"/>
    <col min="1785" max="1785" width="10.28515625" style="9" customWidth="1"/>
    <col min="1786" max="1786" width="10.42578125" style="9" customWidth="1"/>
    <col min="1787" max="1788" width="10.85546875" style="9" customWidth="1"/>
    <col min="1789" max="1789" width="9.7109375" style="9" customWidth="1"/>
    <col min="1790" max="1790" width="12.85546875" style="9" customWidth="1"/>
    <col min="1791" max="2031" width="11.5703125" style="9"/>
    <col min="2032" max="2032" width="4.5703125" style="9" customWidth="1"/>
    <col min="2033" max="2033" width="29.140625" style="9" customWidth="1"/>
    <col min="2034" max="2034" width="14.140625" style="9" customWidth="1"/>
    <col min="2035" max="2035" width="11.5703125" style="9"/>
    <col min="2036" max="2036" width="10" style="9" customWidth="1"/>
    <col min="2037" max="2037" width="19.85546875" style="9" customWidth="1"/>
    <col min="2038" max="2038" width="12.28515625" style="9" customWidth="1"/>
    <col min="2039" max="2039" width="10" style="9" customWidth="1"/>
    <col min="2040" max="2040" width="10.140625" style="9" customWidth="1"/>
    <col min="2041" max="2041" width="10.28515625" style="9" customWidth="1"/>
    <col min="2042" max="2042" width="10.42578125" style="9" customWidth="1"/>
    <col min="2043" max="2044" width="10.85546875" style="9" customWidth="1"/>
    <col min="2045" max="2045" width="9.7109375" style="9" customWidth="1"/>
    <col min="2046" max="2046" width="12.85546875" style="9" customWidth="1"/>
    <col min="2047" max="2287" width="11.5703125" style="9"/>
    <col min="2288" max="2288" width="4.5703125" style="9" customWidth="1"/>
    <col min="2289" max="2289" width="29.140625" style="9" customWidth="1"/>
    <col min="2290" max="2290" width="14.140625" style="9" customWidth="1"/>
    <col min="2291" max="2291" width="11.5703125" style="9"/>
    <col min="2292" max="2292" width="10" style="9" customWidth="1"/>
    <col min="2293" max="2293" width="19.85546875" style="9" customWidth="1"/>
    <col min="2294" max="2294" width="12.28515625" style="9" customWidth="1"/>
    <col min="2295" max="2295" width="10" style="9" customWidth="1"/>
    <col min="2296" max="2296" width="10.140625" style="9" customWidth="1"/>
    <col min="2297" max="2297" width="10.28515625" style="9" customWidth="1"/>
    <col min="2298" max="2298" width="10.42578125" style="9" customWidth="1"/>
    <col min="2299" max="2300" width="10.85546875" style="9" customWidth="1"/>
    <col min="2301" max="2301" width="9.7109375" style="9" customWidth="1"/>
    <col min="2302" max="2302" width="12.85546875" style="9" customWidth="1"/>
    <col min="2303" max="2543" width="11.5703125" style="9"/>
    <col min="2544" max="2544" width="4.5703125" style="9" customWidth="1"/>
    <col min="2545" max="2545" width="29.140625" style="9" customWidth="1"/>
    <col min="2546" max="2546" width="14.140625" style="9" customWidth="1"/>
    <col min="2547" max="2547" width="11.5703125" style="9"/>
    <col min="2548" max="2548" width="10" style="9" customWidth="1"/>
    <col min="2549" max="2549" width="19.85546875" style="9" customWidth="1"/>
    <col min="2550" max="2550" width="12.28515625" style="9" customWidth="1"/>
    <col min="2551" max="2551" width="10" style="9" customWidth="1"/>
    <col min="2552" max="2552" width="10.140625" style="9" customWidth="1"/>
    <col min="2553" max="2553" width="10.28515625" style="9" customWidth="1"/>
    <col min="2554" max="2554" width="10.42578125" style="9" customWidth="1"/>
    <col min="2555" max="2556" width="10.85546875" style="9" customWidth="1"/>
    <col min="2557" max="2557" width="9.7109375" style="9" customWidth="1"/>
    <col min="2558" max="2558" width="12.85546875" style="9" customWidth="1"/>
    <col min="2559" max="2799" width="11.5703125" style="9"/>
    <col min="2800" max="2800" width="4.5703125" style="9" customWidth="1"/>
    <col min="2801" max="2801" width="29.140625" style="9" customWidth="1"/>
    <col min="2802" max="2802" width="14.140625" style="9" customWidth="1"/>
    <col min="2803" max="2803" width="11.5703125" style="9"/>
    <col min="2804" max="2804" width="10" style="9" customWidth="1"/>
    <col min="2805" max="2805" width="19.85546875" style="9" customWidth="1"/>
    <col min="2806" max="2806" width="12.28515625" style="9" customWidth="1"/>
    <col min="2807" max="2807" width="10" style="9" customWidth="1"/>
    <col min="2808" max="2808" width="10.140625" style="9" customWidth="1"/>
    <col min="2809" max="2809" width="10.28515625" style="9" customWidth="1"/>
    <col min="2810" max="2810" width="10.42578125" style="9" customWidth="1"/>
    <col min="2811" max="2812" width="10.85546875" style="9" customWidth="1"/>
    <col min="2813" max="2813" width="9.7109375" style="9" customWidth="1"/>
    <col min="2814" max="2814" width="12.85546875" style="9" customWidth="1"/>
    <col min="2815" max="3055" width="11.5703125" style="9"/>
    <col min="3056" max="3056" width="4.5703125" style="9" customWidth="1"/>
    <col min="3057" max="3057" width="29.140625" style="9" customWidth="1"/>
    <col min="3058" max="3058" width="14.140625" style="9" customWidth="1"/>
    <col min="3059" max="3059" width="11.5703125" style="9"/>
    <col min="3060" max="3060" width="10" style="9" customWidth="1"/>
    <col min="3061" max="3061" width="19.85546875" style="9" customWidth="1"/>
    <col min="3062" max="3062" width="12.28515625" style="9" customWidth="1"/>
    <col min="3063" max="3063" width="10" style="9" customWidth="1"/>
    <col min="3064" max="3064" width="10.140625" style="9" customWidth="1"/>
    <col min="3065" max="3065" width="10.28515625" style="9" customWidth="1"/>
    <col min="3066" max="3066" width="10.42578125" style="9" customWidth="1"/>
    <col min="3067" max="3068" width="10.85546875" style="9" customWidth="1"/>
    <col min="3069" max="3069" width="9.7109375" style="9" customWidth="1"/>
    <col min="3070" max="3070" width="12.85546875" style="9" customWidth="1"/>
    <col min="3071" max="3311" width="11.5703125" style="9"/>
    <col min="3312" max="3312" width="4.5703125" style="9" customWidth="1"/>
    <col min="3313" max="3313" width="29.140625" style="9" customWidth="1"/>
    <col min="3314" max="3314" width="14.140625" style="9" customWidth="1"/>
    <col min="3315" max="3315" width="11.5703125" style="9"/>
    <col min="3316" max="3316" width="10" style="9" customWidth="1"/>
    <col min="3317" max="3317" width="19.85546875" style="9" customWidth="1"/>
    <col min="3318" max="3318" width="12.28515625" style="9" customWidth="1"/>
    <col min="3319" max="3319" width="10" style="9" customWidth="1"/>
    <col min="3320" max="3320" width="10.140625" style="9" customWidth="1"/>
    <col min="3321" max="3321" width="10.28515625" style="9" customWidth="1"/>
    <col min="3322" max="3322" width="10.42578125" style="9" customWidth="1"/>
    <col min="3323" max="3324" width="10.85546875" style="9" customWidth="1"/>
    <col min="3325" max="3325" width="9.7109375" style="9" customWidth="1"/>
    <col min="3326" max="3326" width="12.85546875" style="9" customWidth="1"/>
    <col min="3327" max="3567" width="11.5703125" style="9"/>
    <col min="3568" max="3568" width="4.5703125" style="9" customWidth="1"/>
    <col min="3569" max="3569" width="29.140625" style="9" customWidth="1"/>
    <col min="3570" max="3570" width="14.140625" style="9" customWidth="1"/>
    <col min="3571" max="3571" width="11.5703125" style="9"/>
    <col min="3572" max="3572" width="10" style="9" customWidth="1"/>
    <col min="3573" max="3573" width="19.85546875" style="9" customWidth="1"/>
    <col min="3574" max="3574" width="12.28515625" style="9" customWidth="1"/>
    <col min="3575" max="3575" width="10" style="9" customWidth="1"/>
    <col min="3576" max="3576" width="10.140625" style="9" customWidth="1"/>
    <col min="3577" max="3577" width="10.28515625" style="9" customWidth="1"/>
    <col min="3578" max="3578" width="10.42578125" style="9" customWidth="1"/>
    <col min="3579" max="3580" width="10.85546875" style="9" customWidth="1"/>
    <col min="3581" max="3581" width="9.7109375" style="9" customWidth="1"/>
    <col min="3582" max="3582" width="12.85546875" style="9" customWidth="1"/>
    <col min="3583" max="3823" width="11.5703125" style="9"/>
    <col min="3824" max="3824" width="4.5703125" style="9" customWidth="1"/>
    <col min="3825" max="3825" width="29.140625" style="9" customWidth="1"/>
    <col min="3826" max="3826" width="14.140625" style="9" customWidth="1"/>
    <col min="3827" max="3827" width="11.5703125" style="9"/>
    <col min="3828" max="3828" width="10" style="9" customWidth="1"/>
    <col min="3829" max="3829" width="19.85546875" style="9" customWidth="1"/>
    <col min="3830" max="3830" width="12.28515625" style="9" customWidth="1"/>
    <col min="3831" max="3831" width="10" style="9" customWidth="1"/>
    <col min="3832" max="3832" width="10.140625" style="9" customWidth="1"/>
    <col min="3833" max="3833" width="10.28515625" style="9" customWidth="1"/>
    <col min="3834" max="3834" width="10.42578125" style="9" customWidth="1"/>
    <col min="3835" max="3836" width="10.85546875" style="9" customWidth="1"/>
    <col min="3837" max="3837" width="9.7109375" style="9" customWidth="1"/>
    <col min="3838" max="3838" width="12.85546875" style="9" customWidth="1"/>
    <col min="3839" max="4079" width="11.5703125" style="9"/>
    <col min="4080" max="4080" width="4.5703125" style="9" customWidth="1"/>
    <col min="4081" max="4081" width="29.140625" style="9" customWidth="1"/>
    <col min="4082" max="4082" width="14.140625" style="9" customWidth="1"/>
    <col min="4083" max="4083" width="11.5703125" style="9"/>
    <col min="4084" max="4084" width="10" style="9" customWidth="1"/>
    <col min="4085" max="4085" width="19.85546875" style="9" customWidth="1"/>
    <col min="4086" max="4086" width="12.28515625" style="9" customWidth="1"/>
    <col min="4087" max="4087" width="10" style="9" customWidth="1"/>
    <col min="4088" max="4088" width="10.140625" style="9" customWidth="1"/>
    <col min="4089" max="4089" width="10.28515625" style="9" customWidth="1"/>
    <col min="4090" max="4090" width="10.42578125" style="9" customWidth="1"/>
    <col min="4091" max="4092" width="10.85546875" style="9" customWidth="1"/>
    <col min="4093" max="4093" width="9.7109375" style="9" customWidth="1"/>
    <col min="4094" max="4094" width="12.85546875" style="9" customWidth="1"/>
    <col min="4095" max="4335" width="11.5703125" style="9"/>
    <col min="4336" max="4336" width="4.5703125" style="9" customWidth="1"/>
    <col min="4337" max="4337" width="29.140625" style="9" customWidth="1"/>
    <col min="4338" max="4338" width="14.140625" style="9" customWidth="1"/>
    <col min="4339" max="4339" width="11.5703125" style="9"/>
    <col min="4340" max="4340" width="10" style="9" customWidth="1"/>
    <col min="4341" max="4341" width="19.85546875" style="9" customWidth="1"/>
    <col min="4342" max="4342" width="12.28515625" style="9" customWidth="1"/>
    <col min="4343" max="4343" width="10" style="9" customWidth="1"/>
    <col min="4344" max="4344" width="10.140625" style="9" customWidth="1"/>
    <col min="4345" max="4345" width="10.28515625" style="9" customWidth="1"/>
    <col min="4346" max="4346" width="10.42578125" style="9" customWidth="1"/>
    <col min="4347" max="4348" width="10.85546875" style="9" customWidth="1"/>
    <col min="4349" max="4349" width="9.7109375" style="9" customWidth="1"/>
    <col min="4350" max="4350" width="12.85546875" style="9" customWidth="1"/>
    <col min="4351" max="4591" width="11.5703125" style="9"/>
    <col min="4592" max="4592" width="4.5703125" style="9" customWidth="1"/>
    <col min="4593" max="4593" width="29.140625" style="9" customWidth="1"/>
    <col min="4594" max="4594" width="14.140625" style="9" customWidth="1"/>
    <col min="4595" max="4595" width="11.5703125" style="9"/>
    <col min="4596" max="4596" width="10" style="9" customWidth="1"/>
    <col min="4597" max="4597" width="19.85546875" style="9" customWidth="1"/>
    <col min="4598" max="4598" width="12.28515625" style="9" customWidth="1"/>
    <col min="4599" max="4599" width="10" style="9" customWidth="1"/>
    <col min="4600" max="4600" width="10.140625" style="9" customWidth="1"/>
    <col min="4601" max="4601" width="10.28515625" style="9" customWidth="1"/>
    <col min="4602" max="4602" width="10.42578125" style="9" customWidth="1"/>
    <col min="4603" max="4604" width="10.85546875" style="9" customWidth="1"/>
    <col min="4605" max="4605" width="9.7109375" style="9" customWidth="1"/>
    <col min="4606" max="4606" width="12.85546875" style="9" customWidth="1"/>
    <col min="4607" max="4847" width="11.5703125" style="9"/>
    <col min="4848" max="4848" width="4.5703125" style="9" customWidth="1"/>
    <col min="4849" max="4849" width="29.140625" style="9" customWidth="1"/>
    <col min="4850" max="4850" width="14.140625" style="9" customWidth="1"/>
    <col min="4851" max="4851" width="11.5703125" style="9"/>
    <col min="4852" max="4852" width="10" style="9" customWidth="1"/>
    <col min="4853" max="4853" width="19.85546875" style="9" customWidth="1"/>
    <col min="4854" max="4854" width="12.28515625" style="9" customWidth="1"/>
    <col min="4855" max="4855" width="10" style="9" customWidth="1"/>
    <col min="4856" max="4856" width="10.140625" style="9" customWidth="1"/>
    <col min="4857" max="4857" width="10.28515625" style="9" customWidth="1"/>
    <col min="4858" max="4858" width="10.42578125" style="9" customWidth="1"/>
    <col min="4859" max="4860" width="10.85546875" style="9" customWidth="1"/>
    <col min="4861" max="4861" width="9.7109375" style="9" customWidth="1"/>
    <col min="4862" max="4862" width="12.85546875" style="9" customWidth="1"/>
    <col min="4863" max="5103" width="11.5703125" style="9"/>
    <col min="5104" max="5104" width="4.5703125" style="9" customWidth="1"/>
    <col min="5105" max="5105" width="29.140625" style="9" customWidth="1"/>
    <col min="5106" max="5106" width="14.140625" style="9" customWidth="1"/>
    <col min="5107" max="5107" width="11.5703125" style="9"/>
    <col min="5108" max="5108" width="10" style="9" customWidth="1"/>
    <col min="5109" max="5109" width="19.85546875" style="9" customWidth="1"/>
    <col min="5110" max="5110" width="12.28515625" style="9" customWidth="1"/>
    <col min="5111" max="5111" width="10" style="9" customWidth="1"/>
    <col min="5112" max="5112" width="10.140625" style="9" customWidth="1"/>
    <col min="5113" max="5113" width="10.28515625" style="9" customWidth="1"/>
    <col min="5114" max="5114" width="10.42578125" style="9" customWidth="1"/>
    <col min="5115" max="5116" width="10.85546875" style="9" customWidth="1"/>
    <col min="5117" max="5117" width="9.7109375" style="9" customWidth="1"/>
    <col min="5118" max="5118" width="12.85546875" style="9" customWidth="1"/>
    <col min="5119" max="5359" width="11.5703125" style="9"/>
    <col min="5360" max="5360" width="4.5703125" style="9" customWidth="1"/>
    <col min="5361" max="5361" width="29.140625" style="9" customWidth="1"/>
    <col min="5362" max="5362" width="14.140625" style="9" customWidth="1"/>
    <col min="5363" max="5363" width="11.5703125" style="9"/>
    <col min="5364" max="5364" width="10" style="9" customWidth="1"/>
    <col min="5365" max="5365" width="19.85546875" style="9" customWidth="1"/>
    <col min="5366" max="5366" width="12.28515625" style="9" customWidth="1"/>
    <col min="5367" max="5367" width="10" style="9" customWidth="1"/>
    <col min="5368" max="5368" width="10.140625" style="9" customWidth="1"/>
    <col min="5369" max="5369" width="10.28515625" style="9" customWidth="1"/>
    <col min="5370" max="5370" width="10.42578125" style="9" customWidth="1"/>
    <col min="5371" max="5372" width="10.85546875" style="9" customWidth="1"/>
    <col min="5373" max="5373" width="9.7109375" style="9" customWidth="1"/>
    <col min="5374" max="5374" width="12.85546875" style="9" customWidth="1"/>
    <col min="5375" max="5615" width="11.5703125" style="9"/>
    <col min="5616" max="5616" width="4.5703125" style="9" customWidth="1"/>
    <col min="5617" max="5617" width="29.140625" style="9" customWidth="1"/>
    <col min="5618" max="5618" width="14.140625" style="9" customWidth="1"/>
    <col min="5619" max="5619" width="11.5703125" style="9"/>
    <col min="5620" max="5620" width="10" style="9" customWidth="1"/>
    <col min="5621" max="5621" width="19.85546875" style="9" customWidth="1"/>
    <col min="5622" max="5622" width="12.28515625" style="9" customWidth="1"/>
    <col min="5623" max="5623" width="10" style="9" customWidth="1"/>
    <col min="5624" max="5624" width="10.140625" style="9" customWidth="1"/>
    <col min="5625" max="5625" width="10.28515625" style="9" customWidth="1"/>
    <col min="5626" max="5626" width="10.42578125" style="9" customWidth="1"/>
    <col min="5627" max="5628" width="10.85546875" style="9" customWidth="1"/>
    <col min="5629" max="5629" width="9.7109375" style="9" customWidth="1"/>
    <col min="5630" max="5630" width="12.85546875" style="9" customWidth="1"/>
    <col min="5631" max="5871" width="11.5703125" style="9"/>
    <col min="5872" max="5872" width="4.5703125" style="9" customWidth="1"/>
    <col min="5873" max="5873" width="29.140625" style="9" customWidth="1"/>
    <col min="5874" max="5874" width="14.140625" style="9" customWidth="1"/>
    <col min="5875" max="5875" width="11.5703125" style="9"/>
    <col min="5876" max="5876" width="10" style="9" customWidth="1"/>
    <col min="5877" max="5877" width="19.85546875" style="9" customWidth="1"/>
    <col min="5878" max="5878" width="12.28515625" style="9" customWidth="1"/>
    <col min="5879" max="5879" width="10" style="9" customWidth="1"/>
    <col min="5880" max="5880" width="10.140625" style="9" customWidth="1"/>
    <col min="5881" max="5881" width="10.28515625" style="9" customWidth="1"/>
    <col min="5882" max="5882" width="10.42578125" style="9" customWidth="1"/>
    <col min="5883" max="5884" width="10.85546875" style="9" customWidth="1"/>
    <col min="5885" max="5885" width="9.7109375" style="9" customWidth="1"/>
    <col min="5886" max="5886" width="12.85546875" style="9" customWidth="1"/>
    <col min="5887" max="6127" width="11.5703125" style="9"/>
    <col min="6128" max="6128" width="4.5703125" style="9" customWidth="1"/>
    <col min="6129" max="6129" width="29.140625" style="9" customWidth="1"/>
    <col min="6130" max="6130" width="14.140625" style="9" customWidth="1"/>
    <col min="6131" max="6131" width="11.5703125" style="9"/>
    <col min="6132" max="6132" width="10" style="9" customWidth="1"/>
    <col min="6133" max="6133" width="19.85546875" style="9" customWidth="1"/>
    <col min="6134" max="6134" width="12.28515625" style="9" customWidth="1"/>
    <col min="6135" max="6135" width="10" style="9" customWidth="1"/>
    <col min="6136" max="6136" width="10.140625" style="9" customWidth="1"/>
    <col min="6137" max="6137" width="10.28515625" style="9" customWidth="1"/>
    <col min="6138" max="6138" width="10.42578125" style="9" customWidth="1"/>
    <col min="6139" max="6140" width="10.85546875" style="9" customWidth="1"/>
    <col min="6141" max="6141" width="9.7109375" style="9" customWidth="1"/>
    <col min="6142" max="6142" width="12.85546875" style="9" customWidth="1"/>
    <col min="6143" max="6383" width="11.5703125" style="9"/>
    <col min="6384" max="6384" width="4.5703125" style="9" customWidth="1"/>
    <col min="6385" max="6385" width="29.140625" style="9" customWidth="1"/>
    <col min="6386" max="6386" width="14.140625" style="9" customWidth="1"/>
    <col min="6387" max="6387" width="11.5703125" style="9"/>
    <col min="6388" max="6388" width="10" style="9" customWidth="1"/>
    <col min="6389" max="6389" width="19.85546875" style="9" customWidth="1"/>
    <col min="6390" max="6390" width="12.28515625" style="9" customWidth="1"/>
    <col min="6391" max="6391" width="10" style="9" customWidth="1"/>
    <col min="6392" max="6392" width="10.140625" style="9" customWidth="1"/>
    <col min="6393" max="6393" width="10.28515625" style="9" customWidth="1"/>
    <col min="6394" max="6394" width="10.42578125" style="9" customWidth="1"/>
    <col min="6395" max="6396" width="10.85546875" style="9" customWidth="1"/>
    <col min="6397" max="6397" width="9.7109375" style="9" customWidth="1"/>
    <col min="6398" max="6398" width="12.85546875" style="9" customWidth="1"/>
    <col min="6399" max="6639" width="11.5703125" style="9"/>
    <col min="6640" max="6640" width="4.5703125" style="9" customWidth="1"/>
    <col min="6641" max="6641" width="29.140625" style="9" customWidth="1"/>
    <col min="6642" max="6642" width="14.140625" style="9" customWidth="1"/>
    <col min="6643" max="6643" width="11.5703125" style="9"/>
    <col min="6644" max="6644" width="10" style="9" customWidth="1"/>
    <col min="6645" max="6645" width="19.85546875" style="9" customWidth="1"/>
    <col min="6646" max="6646" width="12.28515625" style="9" customWidth="1"/>
    <col min="6647" max="6647" width="10" style="9" customWidth="1"/>
    <col min="6648" max="6648" width="10.140625" style="9" customWidth="1"/>
    <col min="6649" max="6649" width="10.28515625" style="9" customWidth="1"/>
    <col min="6650" max="6650" width="10.42578125" style="9" customWidth="1"/>
    <col min="6651" max="6652" width="10.85546875" style="9" customWidth="1"/>
    <col min="6653" max="6653" width="9.7109375" style="9" customWidth="1"/>
    <col min="6654" max="6654" width="12.85546875" style="9" customWidth="1"/>
    <col min="6655" max="6895" width="11.5703125" style="9"/>
    <col min="6896" max="6896" width="4.5703125" style="9" customWidth="1"/>
    <col min="6897" max="6897" width="29.140625" style="9" customWidth="1"/>
    <col min="6898" max="6898" width="14.140625" style="9" customWidth="1"/>
    <col min="6899" max="6899" width="11.5703125" style="9"/>
    <col min="6900" max="6900" width="10" style="9" customWidth="1"/>
    <col min="6901" max="6901" width="19.85546875" style="9" customWidth="1"/>
    <col min="6902" max="6902" width="12.28515625" style="9" customWidth="1"/>
    <col min="6903" max="6903" width="10" style="9" customWidth="1"/>
    <col min="6904" max="6904" width="10.140625" style="9" customWidth="1"/>
    <col min="6905" max="6905" width="10.28515625" style="9" customWidth="1"/>
    <col min="6906" max="6906" width="10.42578125" style="9" customWidth="1"/>
    <col min="6907" max="6908" width="10.85546875" style="9" customWidth="1"/>
    <col min="6909" max="6909" width="9.7109375" style="9" customWidth="1"/>
    <col min="6910" max="6910" width="12.85546875" style="9" customWidth="1"/>
    <col min="6911" max="7151" width="11.5703125" style="9"/>
    <col min="7152" max="7152" width="4.5703125" style="9" customWidth="1"/>
    <col min="7153" max="7153" width="29.140625" style="9" customWidth="1"/>
    <col min="7154" max="7154" width="14.140625" style="9" customWidth="1"/>
    <col min="7155" max="7155" width="11.5703125" style="9"/>
    <col min="7156" max="7156" width="10" style="9" customWidth="1"/>
    <col min="7157" max="7157" width="19.85546875" style="9" customWidth="1"/>
    <col min="7158" max="7158" width="12.28515625" style="9" customWidth="1"/>
    <col min="7159" max="7159" width="10" style="9" customWidth="1"/>
    <col min="7160" max="7160" width="10.140625" style="9" customWidth="1"/>
    <col min="7161" max="7161" width="10.28515625" style="9" customWidth="1"/>
    <col min="7162" max="7162" width="10.42578125" style="9" customWidth="1"/>
    <col min="7163" max="7164" width="10.85546875" style="9" customWidth="1"/>
    <col min="7165" max="7165" width="9.7109375" style="9" customWidth="1"/>
    <col min="7166" max="7166" width="12.85546875" style="9" customWidth="1"/>
    <col min="7167" max="7407" width="11.5703125" style="9"/>
    <col min="7408" max="7408" width="4.5703125" style="9" customWidth="1"/>
    <col min="7409" max="7409" width="29.140625" style="9" customWidth="1"/>
    <col min="7410" max="7410" width="14.140625" style="9" customWidth="1"/>
    <col min="7411" max="7411" width="11.5703125" style="9"/>
    <col min="7412" max="7412" width="10" style="9" customWidth="1"/>
    <col min="7413" max="7413" width="19.85546875" style="9" customWidth="1"/>
    <col min="7414" max="7414" width="12.28515625" style="9" customWidth="1"/>
    <col min="7415" max="7415" width="10" style="9" customWidth="1"/>
    <col min="7416" max="7416" width="10.140625" style="9" customWidth="1"/>
    <col min="7417" max="7417" width="10.28515625" style="9" customWidth="1"/>
    <col min="7418" max="7418" width="10.42578125" style="9" customWidth="1"/>
    <col min="7419" max="7420" width="10.85546875" style="9" customWidth="1"/>
    <col min="7421" max="7421" width="9.7109375" style="9" customWidth="1"/>
    <col min="7422" max="7422" width="12.85546875" style="9" customWidth="1"/>
    <col min="7423" max="7663" width="11.5703125" style="9"/>
    <col min="7664" max="7664" width="4.5703125" style="9" customWidth="1"/>
    <col min="7665" max="7665" width="29.140625" style="9" customWidth="1"/>
    <col min="7666" max="7666" width="14.140625" style="9" customWidth="1"/>
    <col min="7667" max="7667" width="11.5703125" style="9"/>
    <col min="7668" max="7668" width="10" style="9" customWidth="1"/>
    <col min="7669" max="7669" width="19.85546875" style="9" customWidth="1"/>
    <col min="7670" max="7670" width="12.28515625" style="9" customWidth="1"/>
    <col min="7671" max="7671" width="10" style="9" customWidth="1"/>
    <col min="7672" max="7672" width="10.140625" style="9" customWidth="1"/>
    <col min="7673" max="7673" width="10.28515625" style="9" customWidth="1"/>
    <col min="7674" max="7674" width="10.42578125" style="9" customWidth="1"/>
    <col min="7675" max="7676" width="10.85546875" style="9" customWidth="1"/>
    <col min="7677" max="7677" width="9.7109375" style="9" customWidth="1"/>
    <col min="7678" max="7678" width="12.85546875" style="9" customWidth="1"/>
    <col min="7679" max="7919" width="11.5703125" style="9"/>
    <col min="7920" max="7920" width="4.5703125" style="9" customWidth="1"/>
    <col min="7921" max="7921" width="29.140625" style="9" customWidth="1"/>
    <col min="7922" max="7922" width="14.140625" style="9" customWidth="1"/>
    <col min="7923" max="7923" width="11.5703125" style="9"/>
    <col min="7924" max="7924" width="10" style="9" customWidth="1"/>
    <col min="7925" max="7925" width="19.85546875" style="9" customWidth="1"/>
    <col min="7926" max="7926" width="12.28515625" style="9" customWidth="1"/>
    <col min="7927" max="7927" width="10" style="9" customWidth="1"/>
    <col min="7928" max="7928" width="10.140625" style="9" customWidth="1"/>
    <col min="7929" max="7929" width="10.28515625" style="9" customWidth="1"/>
    <col min="7930" max="7930" width="10.42578125" style="9" customWidth="1"/>
    <col min="7931" max="7932" width="10.85546875" style="9" customWidth="1"/>
    <col min="7933" max="7933" width="9.7109375" style="9" customWidth="1"/>
    <col min="7934" max="7934" width="12.85546875" style="9" customWidth="1"/>
    <col min="7935" max="8175" width="11.5703125" style="9"/>
    <col min="8176" max="8176" width="4.5703125" style="9" customWidth="1"/>
    <col min="8177" max="8177" width="29.140625" style="9" customWidth="1"/>
    <col min="8178" max="8178" width="14.140625" style="9" customWidth="1"/>
    <col min="8179" max="8179" width="11.5703125" style="9"/>
    <col min="8180" max="8180" width="10" style="9" customWidth="1"/>
    <col min="8181" max="8181" width="19.85546875" style="9" customWidth="1"/>
    <col min="8182" max="8182" width="12.28515625" style="9" customWidth="1"/>
    <col min="8183" max="8183" width="10" style="9" customWidth="1"/>
    <col min="8184" max="8184" width="10.140625" style="9" customWidth="1"/>
    <col min="8185" max="8185" width="10.28515625" style="9" customWidth="1"/>
    <col min="8186" max="8186" width="10.42578125" style="9" customWidth="1"/>
    <col min="8187" max="8188" width="10.85546875" style="9" customWidth="1"/>
    <col min="8189" max="8189" width="9.7109375" style="9" customWidth="1"/>
    <col min="8190" max="8190" width="12.85546875" style="9" customWidth="1"/>
    <col min="8191" max="8431" width="11.5703125" style="9"/>
    <col min="8432" max="8432" width="4.5703125" style="9" customWidth="1"/>
    <col min="8433" max="8433" width="29.140625" style="9" customWidth="1"/>
    <col min="8434" max="8434" width="14.140625" style="9" customWidth="1"/>
    <col min="8435" max="8435" width="11.5703125" style="9"/>
    <col min="8436" max="8436" width="10" style="9" customWidth="1"/>
    <col min="8437" max="8437" width="19.85546875" style="9" customWidth="1"/>
    <col min="8438" max="8438" width="12.28515625" style="9" customWidth="1"/>
    <col min="8439" max="8439" width="10" style="9" customWidth="1"/>
    <col min="8440" max="8440" width="10.140625" style="9" customWidth="1"/>
    <col min="8441" max="8441" width="10.28515625" style="9" customWidth="1"/>
    <col min="8442" max="8442" width="10.42578125" style="9" customWidth="1"/>
    <col min="8443" max="8444" width="10.85546875" style="9" customWidth="1"/>
    <col min="8445" max="8445" width="9.7109375" style="9" customWidth="1"/>
    <col min="8446" max="8446" width="12.85546875" style="9" customWidth="1"/>
    <col min="8447" max="8687" width="11.5703125" style="9"/>
    <col min="8688" max="8688" width="4.5703125" style="9" customWidth="1"/>
    <col min="8689" max="8689" width="29.140625" style="9" customWidth="1"/>
    <col min="8690" max="8690" width="14.140625" style="9" customWidth="1"/>
    <col min="8691" max="8691" width="11.5703125" style="9"/>
    <col min="8692" max="8692" width="10" style="9" customWidth="1"/>
    <col min="8693" max="8693" width="19.85546875" style="9" customWidth="1"/>
    <col min="8694" max="8694" width="12.28515625" style="9" customWidth="1"/>
    <col min="8695" max="8695" width="10" style="9" customWidth="1"/>
    <col min="8696" max="8696" width="10.140625" style="9" customWidth="1"/>
    <col min="8697" max="8697" width="10.28515625" style="9" customWidth="1"/>
    <col min="8698" max="8698" width="10.42578125" style="9" customWidth="1"/>
    <col min="8699" max="8700" width="10.85546875" style="9" customWidth="1"/>
    <col min="8701" max="8701" width="9.7109375" style="9" customWidth="1"/>
    <col min="8702" max="8702" width="12.85546875" style="9" customWidth="1"/>
    <col min="8703" max="8943" width="11.5703125" style="9"/>
    <col min="8944" max="8944" width="4.5703125" style="9" customWidth="1"/>
    <col min="8945" max="8945" width="29.140625" style="9" customWidth="1"/>
    <col min="8946" max="8946" width="14.140625" style="9" customWidth="1"/>
    <col min="8947" max="8947" width="11.5703125" style="9"/>
    <col min="8948" max="8948" width="10" style="9" customWidth="1"/>
    <col min="8949" max="8949" width="19.85546875" style="9" customWidth="1"/>
    <col min="8950" max="8950" width="12.28515625" style="9" customWidth="1"/>
    <col min="8951" max="8951" width="10" style="9" customWidth="1"/>
    <col min="8952" max="8952" width="10.140625" style="9" customWidth="1"/>
    <col min="8953" max="8953" width="10.28515625" style="9" customWidth="1"/>
    <col min="8954" max="8954" width="10.42578125" style="9" customWidth="1"/>
    <col min="8955" max="8956" width="10.85546875" style="9" customWidth="1"/>
    <col min="8957" max="8957" width="9.7109375" style="9" customWidth="1"/>
    <col min="8958" max="8958" width="12.85546875" style="9" customWidth="1"/>
    <col min="8959" max="9199" width="11.5703125" style="9"/>
    <col min="9200" max="9200" width="4.5703125" style="9" customWidth="1"/>
    <col min="9201" max="9201" width="29.140625" style="9" customWidth="1"/>
    <col min="9202" max="9202" width="14.140625" style="9" customWidth="1"/>
    <col min="9203" max="9203" width="11.5703125" style="9"/>
    <col min="9204" max="9204" width="10" style="9" customWidth="1"/>
    <col min="9205" max="9205" width="19.85546875" style="9" customWidth="1"/>
    <col min="9206" max="9206" width="12.28515625" style="9" customWidth="1"/>
    <col min="9207" max="9207" width="10" style="9" customWidth="1"/>
    <col min="9208" max="9208" width="10.140625" style="9" customWidth="1"/>
    <col min="9209" max="9209" width="10.28515625" style="9" customWidth="1"/>
    <col min="9210" max="9210" width="10.42578125" style="9" customWidth="1"/>
    <col min="9211" max="9212" width="10.85546875" style="9" customWidth="1"/>
    <col min="9213" max="9213" width="9.7109375" style="9" customWidth="1"/>
    <col min="9214" max="9214" width="12.85546875" style="9" customWidth="1"/>
    <col min="9215" max="9455" width="11.5703125" style="9"/>
    <col min="9456" max="9456" width="4.5703125" style="9" customWidth="1"/>
    <col min="9457" max="9457" width="29.140625" style="9" customWidth="1"/>
    <col min="9458" max="9458" width="14.140625" style="9" customWidth="1"/>
    <col min="9459" max="9459" width="11.5703125" style="9"/>
    <col min="9460" max="9460" width="10" style="9" customWidth="1"/>
    <col min="9461" max="9461" width="19.85546875" style="9" customWidth="1"/>
    <col min="9462" max="9462" width="12.28515625" style="9" customWidth="1"/>
    <col min="9463" max="9463" width="10" style="9" customWidth="1"/>
    <col min="9464" max="9464" width="10.140625" style="9" customWidth="1"/>
    <col min="9465" max="9465" width="10.28515625" style="9" customWidth="1"/>
    <col min="9466" max="9466" width="10.42578125" style="9" customWidth="1"/>
    <col min="9467" max="9468" width="10.85546875" style="9" customWidth="1"/>
    <col min="9469" max="9469" width="9.7109375" style="9" customWidth="1"/>
    <col min="9470" max="9470" width="12.85546875" style="9" customWidth="1"/>
    <col min="9471" max="9711" width="11.5703125" style="9"/>
    <col min="9712" max="9712" width="4.5703125" style="9" customWidth="1"/>
    <col min="9713" max="9713" width="29.140625" style="9" customWidth="1"/>
    <col min="9714" max="9714" width="14.140625" style="9" customWidth="1"/>
    <col min="9715" max="9715" width="11.5703125" style="9"/>
    <col min="9716" max="9716" width="10" style="9" customWidth="1"/>
    <col min="9717" max="9717" width="19.85546875" style="9" customWidth="1"/>
    <col min="9718" max="9718" width="12.28515625" style="9" customWidth="1"/>
    <col min="9719" max="9719" width="10" style="9" customWidth="1"/>
    <col min="9720" max="9720" width="10.140625" style="9" customWidth="1"/>
    <col min="9721" max="9721" width="10.28515625" style="9" customWidth="1"/>
    <col min="9722" max="9722" width="10.42578125" style="9" customWidth="1"/>
    <col min="9723" max="9724" width="10.85546875" style="9" customWidth="1"/>
    <col min="9725" max="9725" width="9.7109375" style="9" customWidth="1"/>
    <col min="9726" max="9726" width="12.85546875" style="9" customWidth="1"/>
    <col min="9727" max="9967" width="11.5703125" style="9"/>
    <col min="9968" max="9968" width="4.5703125" style="9" customWidth="1"/>
    <col min="9969" max="9969" width="29.140625" style="9" customWidth="1"/>
    <col min="9970" max="9970" width="14.140625" style="9" customWidth="1"/>
    <col min="9971" max="9971" width="11.5703125" style="9"/>
    <col min="9972" max="9972" width="10" style="9" customWidth="1"/>
    <col min="9973" max="9973" width="19.85546875" style="9" customWidth="1"/>
    <col min="9974" max="9974" width="12.28515625" style="9" customWidth="1"/>
    <col min="9975" max="9975" width="10" style="9" customWidth="1"/>
    <col min="9976" max="9976" width="10.140625" style="9" customWidth="1"/>
    <col min="9977" max="9977" width="10.28515625" style="9" customWidth="1"/>
    <col min="9978" max="9978" width="10.42578125" style="9" customWidth="1"/>
    <col min="9979" max="9980" width="10.85546875" style="9" customWidth="1"/>
    <col min="9981" max="9981" width="9.7109375" style="9" customWidth="1"/>
    <col min="9982" max="9982" width="12.85546875" style="9" customWidth="1"/>
    <col min="9983" max="10223" width="11.5703125" style="9"/>
    <col min="10224" max="10224" width="4.5703125" style="9" customWidth="1"/>
    <col min="10225" max="10225" width="29.140625" style="9" customWidth="1"/>
    <col min="10226" max="10226" width="14.140625" style="9" customWidth="1"/>
    <col min="10227" max="10227" width="11.5703125" style="9"/>
    <col min="10228" max="10228" width="10" style="9" customWidth="1"/>
    <col min="10229" max="10229" width="19.85546875" style="9" customWidth="1"/>
    <col min="10230" max="10230" width="12.28515625" style="9" customWidth="1"/>
    <col min="10231" max="10231" width="10" style="9" customWidth="1"/>
    <col min="10232" max="10232" width="10.140625" style="9" customWidth="1"/>
    <col min="10233" max="10233" width="10.28515625" style="9" customWidth="1"/>
    <col min="10234" max="10234" width="10.42578125" style="9" customWidth="1"/>
    <col min="10235" max="10236" width="10.85546875" style="9" customWidth="1"/>
    <col min="10237" max="10237" width="9.7109375" style="9" customWidth="1"/>
    <col min="10238" max="10238" width="12.85546875" style="9" customWidth="1"/>
    <col min="10239" max="10479" width="11.5703125" style="9"/>
    <col min="10480" max="10480" width="4.5703125" style="9" customWidth="1"/>
    <col min="10481" max="10481" width="29.140625" style="9" customWidth="1"/>
    <col min="10482" max="10482" width="14.140625" style="9" customWidth="1"/>
    <col min="10483" max="10483" width="11.5703125" style="9"/>
    <col min="10484" max="10484" width="10" style="9" customWidth="1"/>
    <col min="10485" max="10485" width="19.85546875" style="9" customWidth="1"/>
    <col min="10486" max="10486" width="12.28515625" style="9" customWidth="1"/>
    <col min="10487" max="10487" width="10" style="9" customWidth="1"/>
    <col min="10488" max="10488" width="10.140625" style="9" customWidth="1"/>
    <col min="10489" max="10489" width="10.28515625" style="9" customWidth="1"/>
    <col min="10490" max="10490" width="10.42578125" style="9" customWidth="1"/>
    <col min="10491" max="10492" width="10.85546875" style="9" customWidth="1"/>
    <col min="10493" max="10493" width="9.7109375" style="9" customWidth="1"/>
    <col min="10494" max="10494" width="12.85546875" style="9" customWidth="1"/>
    <col min="10495" max="10735" width="11.5703125" style="9"/>
    <col min="10736" max="10736" width="4.5703125" style="9" customWidth="1"/>
    <col min="10737" max="10737" width="29.140625" style="9" customWidth="1"/>
    <col min="10738" max="10738" width="14.140625" style="9" customWidth="1"/>
    <col min="10739" max="10739" width="11.5703125" style="9"/>
    <col min="10740" max="10740" width="10" style="9" customWidth="1"/>
    <col min="10741" max="10741" width="19.85546875" style="9" customWidth="1"/>
    <col min="10742" max="10742" width="12.28515625" style="9" customWidth="1"/>
    <col min="10743" max="10743" width="10" style="9" customWidth="1"/>
    <col min="10744" max="10744" width="10.140625" style="9" customWidth="1"/>
    <col min="10745" max="10745" width="10.28515625" style="9" customWidth="1"/>
    <col min="10746" max="10746" width="10.42578125" style="9" customWidth="1"/>
    <col min="10747" max="10748" width="10.85546875" style="9" customWidth="1"/>
    <col min="10749" max="10749" width="9.7109375" style="9" customWidth="1"/>
    <col min="10750" max="10750" width="12.85546875" style="9" customWidth="1"/>
    <col min="10751" max="10991" width="11.5703125" style="9"/>
    <col min="10992" max="10992" width="4.5703125" style="9" customWidth="1"/>
    <col min="10993" max="10993" width="29.140625" style="9" customWidth="1"/>
    <col min="10994" max="10994" width="14.140625" style="9" customWidth="1"/>
    <col min="10995" max="10995" width="11.5703125" style="9"/>
    <col min="10996" max="10996" width="10" style="9" customWidth="1"/>
    <col min="10997" max="10997" width="19.85546875" style="9" customWidth="1"/>
    <col min="10998" max="10998" width="12.28515625" style="9" customWidth="1"/>
    <col min="10999" max="10999" width="10" style="9" customWidth="1"/>
    <col min="11000" max="11000" width="10.140625" style="9" customWidth="1"/>
    <col min="11001" max="11001" width="10.28515625" style="9" customWidth="1"/>
    <col min="11002" max="11002" width="10.42578125" style="9" customWidth="1"/>
    <col min="11003" max="11004" width="10.85546875" style="9" customWidth="1"/>
    <col min="11005" max="11005" width="9.7109375" style="9" customWidth="1"/>
    <col min="11006" max="11006" width="12.85546875" style="9" customWidth="1"/>
    <col min="11007" max="11247" width="11.5703125" style="9"/>
    <col min="11248" max="11248" width="4.5703125" style="9" customWidth="1"/>
    <col min="11249" max="11249" width="29.140625" style="9" customWidth="1"/>
    <col min="11250" max="11250" width="14.140625" style="9" customWidth="1"/>
    <col min="11251" max="11251" width="11.5703125" style="9"/>
    <col min="11252" max="11252" width="10" style="9" customWidth="1"/>
    <col min="11253" max="11253" width="19.85546875" style="9" customWidth="1"/>
    <col min="11254" max="11254" width="12.28515625" style="9" customWidth="1"/>
    <col min="11255" max="11255" width="10" style="9" customWidth="1"/>
    <col min="11256" max="11256" width="10.140625" style="9" customWidth="1"/>
    <col min="11257" max="11257" width="10.28515625" style="9" customWidth="1"/>
    <col min="11258" max="11258" width="10.42578125" style="9" customWidth="1"/>
    <col min="11259" max="11260" width="10.85546875" style="9" customWidth="1"/>
    <col min="11261" max="11261" width="9.7109375" style="9" customWidth="1"/>
    <col min="11262" max="11262" width="12.85546875" style="9" customWidth="1"/>
    <col min="11263" max="11503" width="11.5703125" style="9"/>
    <col min="11504" max="11504" width="4.5703125" style="9" customWidth="1"/>
    <col min="11505" max="11505" width="29.140625" style="9" customWidth="1"/>
    <col min="11506" max="11506" width="14.140625" style="9" customWidth="1"/>
    <col min="11507" max="11507" width="11.5703125" style="9"/>
    <col min="11508" max="11508" width="10" style="9" customWidth="1"/>
    <col min="11509" max="11509" width="19.85546875" style="9" customWidth="1"/>
    <col min="11510" max="11510" width="12.28515625" style="9" customWidth="1"/>
    <col min="11511" max="11511" width="10" style="9" customWidth="1"/>
    <col min="11512" max="11512" width="10.140625" style="9" customWidth="1"/>
    <col min="11513" max="11513" width="10.28515625" style="9" customWidth="1"/>
    <col min="11514" max="11514" width="10.42578125" style="9" customWidth="1"/>
    <col min="11515" max="11516" width="10.85546875" style="9" customWidth="1"/>
    <col min="11517" max="11517" width="9.7109375" style="9" customWidth="1"/>
    <col min="11518" max="11518" width="12.85546875" style="9" customWidth="1"/>
    <col min="11519" max="11759" width="11.5703125" style="9"/>
    <col min="11760" max="11760" width="4.5703125" style="9" customWidth="1"/>
    <col min="11761" max="11761" width="29.140625" style="9" customWidth="1"/>
    <col min="11762" max="11762" width="14.140625" style="9" customWidth="1"/>
    <col min="11763" max="11763" width="11.5703125" style="9"/>
    <col min="11764" max="11764" width="10" style="9" customWidth="1"/>
    <col min="11765" max="11765" width="19.85546875" style="9" customWidth="1"/>
    <col min="11766" max="11766" width="12.28515625" style="9" customWidth="1"/>
    <col min="11767" max="11767" width="10" style="9" customWidth="1"/>
    <col min="11768" max="11768" width="10.140625" style="9" customWidth="1"/>
    <col min="11769" max="11769" width="10.28515625" style="9" customWidth="1"/>
    <col min="11770" max="11770" width="10.42578125" style="9" customWidth="1"/>
    <col min="11771" max="11772" width="10.85546875" style="9" customWidth="1"/>
    <col min="11773" max="11773" width="9.7109375" style="9" customWidth="1"/>
    <col min="11774" max="11774" width="12.85546875" style="9" customWidth="1"/>
    <col min="11775" max="12015" width="11.5703125" style="9"/>
    <col min="12016" max="12016" width="4.5703125" style="9" customWidth="1"/>
    <col min="12017" max="12017" width="29.140625" style="9" customWidth="1"/>
    <col min="12018" max="12018" width="14.140625" style="9" customWidth="1"/>
    <col min="12019" max="12019" width="11.5703125" style="9"/>
    <col min="12020" max="12020" width="10" style="9" customWidth="1"/>
    <col min="12021" max="12021" width="19.85546875" style="9" customWidth="1"/>
    <col min="12022" max="12022" width="12.28515625" style="9" customWidth="1"/>
    <col min="12023" max="12023" width="10" style="9" customWidth="1"/>
    <col min="12024" max="12024" width="10.140625" style="9" customWidth="1"/>
    <col min="12025" max="12025" width="10.28515625" style="9" customWidth="1"/>
    <col min="12026" max="12026" width="10.42578125" style="9" customWidth="1"/>
    <col min="12027" max="12028" width="10.85546875" style="9" customWidth="1"/>
    <col min="12029" max="12029" width="9.7109375" style="9" customWidth="1"/>
    <col min="12030" max="12030" width="12.85546875" style="9" customWidth="1"/>
    <col min="12031" max="12271" width="11.5703125" style="9"/>
    <col min="12272" max="12272" width="4.5703125" style="9" customWidth="1"/>
    <col min="12273" max="12273" width="29.140625" style="9" customWidth="1"/>
    <col min="12274" max="12274" width="14.140625" style="9" customWidth="1"/>
    <col min="12275" max="12275" width="11.5703125" style="9"/>
    <col min="12276" max="12276" width="10" style="9" customWidth="1"/>
    <col min="12277" max="12277" width="19.85546875" style="9" customWidth="1"/>
    <col min="12278" max="12278" width="12.28515625" style="9" customWidth="1"/>
    <col min="12279" max="12279" width="10" style="9" customWidth="1"/>
    <col min="12280" max="12280" width="10.140625" style="9" customWidth="1"/>
    <col min="12281" max="12281" width="10.28515625" style="9" customWidth="1"/>
    <col min="12282" max="12282" width="10.42578125" style="9" customWidth="1"/>
    <col min="12283" max="12284" width="10.85546875" style="9" customWidth="1"/>
    <col min="12285" max="12285" width="9.7109375" style="9" customWidth="1"/>
    <col min="12286" max="12286" width="12.85546875" style="9" customWidth="1"/>
    <col min="12287" max="12527" width="11.5703125" style="9"/>
    <col min="12528" max="12528" width="4.5703125" style="9" customWidth="1"/>
    <col min="12529" max="12529" width="29.140625" style="9" customWidth="1"/>
    <col min="12530" max="12530" width="14.140625" style="9" customWidth="1"/>
    <col min="12531" max="12531" width="11.5703125" style="9"/>
    <col min="12532" max="12532" width="10" style="9" customWidth="1"/>
    <col min="12533" max="12533" width="19.85546875" style="9" customWidth="1"/>
    <col min="12534" max="12534" width="12.28515625" style="9" customWidth="1"/>
    <col min="12535" max="12535" width="10" style="9" customWidth="1"/>
    <col min="12536" max="12536" width="10.140625" style="9" customWidth="1"/>
    <col min="12537" max="12537" width="10.28515625" style="9" customWidth="1"/>
    <col min="12538" max="12538" width="10.42578125" style="9" customWidth="1"/>
    <col min="12539" max="12540" width="10.85546875" style="9" customWidth="1"/>
    <col min="12541" max="12541" width="9.7109375" style="9" customWidth="1"/>
    <col min="12542" max="12542" width="12.85546875" style="9" customWidth="1"/>
    <col min="12543" max="12783" width="11.5703125" style="9"/>
    <col min="12784" max="12784" width="4.5703125" style="9" customWidth="1"/>
    <col min="12785" max="12785" width="29.140625" style="9" customWidth="1"/>
    <col min="12786" max="12786" width="14.140625" style="9" customWidth="1"/>
    <col min="12787" max="12787" width="11.5703125" style="9"/>
    <col min="12788" max="12788" width="10" style="9" customWidth="1"/>
    <col min="12789" max="12789" width="19.85546875" style="9" customWidth="1"/>
    <col min="12790" max="12790" width="12.28515625" style="9" customWidth="1"/>
    <col min="12791" max="12791" width="10" style="9" customWidth="1"/>
    <col min="12792" max="12792" width="10.140625" style="9" customWidth="1"/>
    <col min="12793" max="12793" width="10.28515625" style="9" customWidth="1"/>
    <col min="12794" max="12794" width="10.42578125" style="9" customWidth="1"/>
    <col min="12795" max="12796" width="10.85546875" style="9" customWidth="1"/>
    <col min="12797" max="12797" width="9.7109375" style="9" customWidth="1"/>
    <col min="12798" max="12798" width="12.85546875" style="9" customWidth="1"/>
    <col min="12799" max="13039" width="11.5703125" style="9"/>
    <col min="13040" max="13040" width="4.5703125" style="9" customWidth="1"/>
    <col min="13041" max="13041" width="29.140625" style="9" customWidth="1"/>
    <col min="13042" max="13042" width="14.140625" style="9" customWidth="1"/>
    <col min="13043" max="13043" width="11.5703125" style="9"/>
    <col min="13044" max="13044" width="10" style="9" customWidth="1"/>
    <col min="13045" max="13045" width="19.85546875" style="9" customWidth="1"/>
    <col min="13046" max="13046" width="12.28515625" style="9" customWidth="1"/>
    <col min="13047" max="13047" width="10" style="9" customWidth="1"/>
    <col min="13048" max="13048" width="10.140625" style="9" customWidth="1"/>
    <col min="13049" max="13049" width="10.28515625" style="9" customWidth="1"/>
    <col min="13050" max="13050" width="10.42578125" style="9" customWidth="1"/>
    <col min="13051" max="13052" width="10.85546875" style="9" customWidth="1"/>
    <col min="13053" max="13053" width="9.7109375" style="9" customWidth="1"/>
    <col min="13054" max="13054" width="12.85546875" style="9" customWidth="1"/>
    <col min="13055" max="13295" width="11.5703125" style="9"/>
    <col min="13296" max="13296" width="4.5703125" style="9" customWidth="1"/>
    <col min="13297" max="13297" width="29.140625" style="9" customWidth="1"/>
    <col min="13298" max="13298" width="14.140625" style="9" customWidth="1"/>
    <col min="13299" max="13299" width="11.5703125" style="9"/>
    <col min="13300" max="13300" width="10" style="9" customWidth="1"/>
    <col min="13301" max="13301" width="19.85546875" style="9" customWidth="1"/>
    <col min="13302" max="13302" width="12.28515625" style="9" customWidth="1"/>
    <col min="13303" max="13303" width="10" style="9" customWidth="1"/>
    <col min="13304" max="13304" width="10.140625" style="9" customWidth="1"/>
    <col min="13305" max="13305" width="10.28515625" style="9" customWidth="1"/>
    <col min="13306" max="13306" width="10.42578125" style="9" customWidth="1"/>
    <col min="13307" max="13308" width="10.85546875" style="9" customWidth="1"/>
    <col min="13309" max="13309" width="9.7109375" style="9" customWidth="1"/>
    <col min="13310" max="13310" width="12.85546875" style="9" customWidth="1"/>
    <col min="13311" max="13551" width="11.5703125" style="9"/>
    <col min="13552" max="13552" width="4.5703125" style="9" customWidth="1"/>
    <col min="13553" max="13553" width="29.140625" style="9" customWidth="1"/>
    <col min="13554" max="13554" width="14.140625" style="9" customWidth="1"/>
    <col min="13555" max="13555" width="11.5703125" style="9"/>
    <col min="13556" max="13556" width="10" style="9" customWidth="1"/>
    <col min="13557" max="13557" width="19.85546875" style="9" customWidth="1"/>
    <col min="13558" max="13558" width="12.28515625" style="9" customWidth="1"/>
    <col min="13559" max="13559" width="10" style="9" customWidth="1"/>
    <col min="13560" max="13560" width="10.140625" style="9" customWidth="1"/>
    <col min="13561" max="13561" width="10.28515625" style="9" customWidth="1"/>
    <col min="13562" max="13562" width="10.42578125" style="9" customWidth="1"/>
    <col min="13563" max="13564" width="10.85546875" style="9" customWidth="1"/>
    <col min="13565" max="13565" width="9.7109375" style="9" customWidth="1"/>
    <col min="13566" max="13566" width="12.85546875" style="9" customWidth="1"/>
    <col min="13567" max="13807" width="11.5703125" style="9"/>
    <col min="13808" max="13808" width="4.5703125" style="9" customWidth="1"/>
    <col min="13809" max="13809" width="29.140625" style="9" customWidth="1"/>
    <col min="13810" max="13810" width="14.140625" style="9" customWidth="1"/>
    <col min="13811" max="13811" width="11.5703125" style="9"/>
    <col min="13812" max="13812" width="10" style="9" customWidth="1"/>
    <col min="13813" max="13813" width="19.85546875" style="9" customWidth="1"/>
    <col min="13814" max="13814" width="12.28515625" style="9" customWidth="1"/>
    <col min="13815" max="13815" width="10" style="9" customWidth="1"/>
    <col min="13816" max="13816" width="10.140625" style="9" customWidth="1"/>
    <col min="13817" max="13817" width="10.28515625" style="9" customWidth="1"/>
    <col min="13818" max="13818" width="10.42578125" style="9" customWidth="1"/>
    <col min="13819" max="13820" width="10.85546875" style="9" customWidth="1"/>
    <col min="13821" max="13821" width="9.7109375" style="9" customWidth="1"/>
    <col min="13822" max="13822" width="12.85546875" style="9" customWidth="1"/>
    <col min="13823" max="14063" width="11.5703125" style="9"/>
    <col min="14064" max="14064" width="4.5703125" style="9" customWidth="1"/>
    <col min="14065" max="14065" width="29.140625" style="9" customWidth="1"/>
    <col min="14066" max="14066" width="14.140625" style="9" customWidth="1"/>
    <col min="14067" max="14067" width="11.5703125" style="9"/>
    <col min="14068" max="14068" width="10" style="9" customWidth="1"/>
    <col min="14069" max="14069" width="19.85546875" style="9" customWidth="1"/>
    <col min="14070" max="14070" width="12.28515625" style="9" customWidth="1"/>
    <col min="14071" max="14071" width="10" style="9" customWidth="1"/>
    <col min="14072" max="14072" width="10.140625" style="9" customWidth="1"/>
    <col min="14073" max="14073" width="10.28515625" style="9" customWidth="1"/>
    <col min="14074" max="14074" width="10.42578125" style="9" customWidth="1"/>
    <col min="14075" max="14076" width="10.85546875" style="9" customWidth="1"/>
    <col min="14077" max="14077" width="9.7109375" style="9" customWidth="1"/>
    <col min="14078" max="14078" width="12.85546875" style="9" customWidth="1"/>
    <col min="14079" max="14319" width="11.5703125" style="9"/>
    <col min="14320" max="14320" width="4.5703125" style="9" customWidth="1"/>
    <col min="14321" max="14321" width="29.140625" style="9" customWidth="1"/>
    <col min="14322" max="14322" width="14.140625" style="9" customWidth="1"/>
    <col min="14323" max="14323" width="11.5703125" style="9"/>
    <col min="14324" max="14324" width="10" style="9" customWidth="1"/>
    <col min="14325" max="14325" width="19.85546875" style="9" customWidth="1"/>
    <col min="14326" max="14326" width="12.28515625" style="9" customWidth="1"/>
    <col min="14327" max="14327" width="10" style="9" customWidth="1"/>
    <col min="14328" max="14328" width="10.140625" style="9" customWidth="1"/>
    <col min="14329" max="14329" width="10.28515625" style="9" customWidth="1"/>
    <col min="14330" max="14330" width="10.42578125" style="9" customWidth="1"/>
    <col min="14331" max="14332" width="10.85546875" style="9" customWidth="1"/>
    <col min="14333" max="14333" width="9.7109375" style="9" customWidth="1"/>
    <col min="14334" max="14334" width="12.85546875" style="9" customWidth="1"/>
    <col min="14335" max="14575" width="11.5703125" style="9"/>
    <col min="14576" max="14576" width="4.5703125" style="9" customWidth="1"/>
    <col min="14577" max="14577" width="29.140625" style="9" customWidth="1"/>
    <col min="14578" max="14578" width="14.140625" style="9" customWidth="1"/>
    <col min="14579" max="14579" width="11.5703125" style="9"/>
    <col min="14580" max="14580" width="10" style="9" customWidth="1"/>
    <col min="14581" max="14581" width="19.85546875" style="9" customWidth="1"/>
    <col min="14582" max="14582" width="12.28515625" style="9" customWidth="1"/>
    <col min="14583" max="14583" width="10" style="9" customWidth="1"/>
    <col min="14584" max="14584" width="10.140625" style="9" customWidth="1"/>
    <col min="14585" max="14585" width="10.28515625" style="9" customWidth="1"/>
    <col min="14586" max="14586" width="10.42578125" style="9" customWidth="1"/>
    <col min="14587" max="14588" width="10.85546875" style="9" customWidth="1"/>
    <col min="14589" max="14589" width="9.7109375" style="9" customWidth="1"/>
    <col min="14590" max="14590" width="12.85546875" style="9" customWidth="1"/>
    <col min="14591" max="14831" width="11.5703125" style="9"/>
    <col min="14832" max="14832" width="4.5703125" style="9" customWidth="1"/>
    <col min="14833" max="14833" width="29.140625" style="9" customWidth="1"/>
    <col min="14834" max="14834" width="14.140625" style="9" customWidth="1"/>
    <col min="14835" max="14835" width="11.5703125" style="9"/>
    <col min="14836" max="14836" width="10" style="9" customWidth="1"/>
    <col min="14837" max="14837" width="19.85546875" style="9" customWidth="1"/>
    <col min="14838" max="14838" width="12.28515625" style="9" customWidth="1"/>
    <col min="14839" max="14839" width="10" style="9" customWidth="1"/>
    <col min="14840" max="14840" width="10.140625" style="9" customWidth="1"/>
    <col min="14841" max="14841" width="10.28515625" style="9" customWidth="1"/>
    <col min="14842" max="14842" width="10.42578125" style="9" customWidth="1"/>
    <col min="14843" max="14844" width="10.85546875" style="9" customWidth="1"/>
    <col min="14845" max="14845" width="9.7109375" style="9" customWidth="1"/>
    <col min="14846" max="14846" width="12.85546875" style="9" customWidth="1"/>
    <col min="14847" max="15087" width="11.5703125" style="9"/>
    <col min="15088" max="15088" width="4.5703125" style="9" customWidth="1"/>
    <col min="15089" max="15089" width="29.140625" style="9" customWidth="1"/>
    <col min="15090" max="15090" width="14.140625" style="9" customWidth="1"/>
    <col min="15091" max="15091" width="11.5703125" style="9"/>
    <col min="15092" max="15092" width="10" style="9" customWidth="1"/>
    <col min="15093" max="15093" width="19.85546875" style="9" customWidth="1"/>
    <col min="15094" max="15094" width="12.28515625" style="9" customWidth="1"/>
    <col min="15095" max="15095" width="10" style="9" customWidth="1"/>
    <col min="15096" max="15096" width="10.140625" style="9" customWidth="1"/>
    <col min="15097" max="15097" width="10.28515625" style="9" customWidth="1"/>
    <col min="15098" max="15098" width="10.42578125" style="9" customWidth="1"/>
    <col min="15099" max="15100" width="10.85546875" style="9" customWidth="1"/>
    <col min="15101" max="15101" width="9.7109375" style="9" customWidth="1"/>
    <col min="15102" max="15102" width="12.85546875" style="9" customWidth="1"/>
    <col min="15103" max="15343" width="11.5703125" style="9"/>
    <col min="15344" max="15344" width="4.5703125" style="9" customWidth="1"/>
    <col min="15345" max="15345" width="29.140625" style="9" customWidth="1"/>
    <col min="15346" max="15346" width="14.140625" style="9" customWidth="1"/>
    <col min="15347" max="15347" width="11.5703125" style="9"/>
    <col min="15348" max="15348" width="10" style="9" customWidth="1"/>
    <col min="15349" max="15349" width="19.85546875" style="9" customWidth="1"/>
    <col min="15350" max="15350" width="12.28515625" style="9" customWidth="1"/>
    <col min="15351" max="15351" width="10" style="9" customWidth="1"/>
    <col min="15352" max="15352" width="10.140625" style="9" customWidth="1"/>
    <col min="15353" max="15353" width="10.28515625" style="9" customWidth="1"/>
    <col min="15354" max="15354" width="10.42578125" style="9" customWidth="1"/>
    <col min="15355" max="15356" width="10.85546875" style="9" customWidth="1"/>
    <col min="15357" max="15357" width="9.7109375" style="9" customWidth="1"/>
    <col min="15358" max="15358" width="12.85546875" style="9" customWidth="1"/>
    <col min="15359" max="15599" width="11.5703125" style="9"/>
    <col min="15600" max="15600" width="4.5703125" style="9" customWidth="1"/>
    <col min="15601" max="15601" width="29.140625" style="9" customWidth="1"/>
    <col min="15602" max="15602" width="14.140625" style="9" customWidth="1"/>
    <col min="15603" max="15603" width="11.5703125" style="9"/>
    <col min="15604" max="15604" width="10" style="9" customWidth="1"/>
    <col min="15605" max="15605" width="19.85546875" style="9" customWidth="1"/>
    <col min="15606" max="15606" width="12.28515625" style="9" customWidth="1"/>
    <col min="15607" max="15607" width="10" style="9" customWidth="1"/>
    <col min="15608" max="15608" width="10.140625" style="9" customWidth="1"/>
    <col min="15609" max="15609" width="10.28515625" style="9" customWidth="1"/>
    <col min="15610" max="15610" width="10.42578125" style="9" customWidth="1"/>
    <col min="15611" max="15612" width="10.85546875" style="9" customWidth="1"/>
    <col min="15613" max="15613" width="9.7109375" style="9" customWidth="1"/>
    <col min="15614" max="15614" width="12.85546875" style="9" customWidth="1"/>
    <col min="15615" max="15855" width="11.5703125" style="9"/>
    <col min="15856" max="15856" width="4.5703125" style="9" customWidth="1"/>
    <col min="15857" max="15857" width="29.140625" style="9" customWidth="1"/>
    <col min="15858" max="15858" width="14.140625" style="9" customWidth="1"/>
    <col min="15859" max="15859" width="11.5703125" style="9"/>
    <col min="15860" max="15860" width="10" style="9" customWidth="1"/>
    <col min="15861" max="15861" width="19.85546875" style="9" customWidth="1"/>
    <col min="15862" max="15862" width="12.28515625" style="9" customWidth="1"/>
    <col min="15863" max="15863" width="10" style="9" customWidth="1"/>
    <col min="15864" max="15864" width="10.140625" style="9" customWidth="1"/>
    <col min="15865" max="15865" width="10.28515625" style="9" customWidth="1"/>
    <col min="15866" max="15866" width="10.42578125" style="9" customWidth="1"/>
    <col min="15867" max="15868" width="10.85546875" style="9" customWidth="1"/>
    <col min="15869" max="15869" width="9.7109375" style="9" customWidth="1"/>
    <col min="15870" max="15870" width="12.85546875" style="9" customWidth="1"/>
    <col min="15871" max="16111" width="11.5703125" style="9"/>
    <col min="16112" max="16112" width="4.5703125" style="9" customWidth="1"/>
    <col min="16113" max="16113" width="29.140625" style="9" customWidth="1"/>
    <col min="16114" max="16114" width="14.140625" style="9" customWidth="1"/>
    <col min="16115" max="16115" width="11.5703125" style="9"/>
    <col min="16116" max="16116" width="10" style="9" customWidth="1"/>
    <col min="16117" max="16117" width="19.85546875" style="9" customWidth="1"/>
    <col min="16118" max="16118" width="12.28515625" style="9" customWidth="1"/>
    <col min="16119" max="16119" width="10" style="9" customWidth="1"/>
    <col min="16120" max="16120" width="10.140625" style="9" customWidth="1"/>
    <col min="16121" max="16121" width="10.28515625" style="9" customWidth="1"/>
    <col min="16122" max="16122" width="10.42578125" style="9" customWidth="1"/>
    <col min="16123" max="16124" width="10.85546875" style="9" customWidth="1"/>
    <col min="16125" max="16125" width="9.7109375" style="9" customWidth="1"/>
    <col min="16126" max="16126" width="12.85546875" style="9" customWidth="1"/>
    <col min="16127" max="16384" width="11.5703125" style="9"/>
  </cols>
  <sheetData>
    <row r="1" spans="1:33" ht="54" customHeight="1" x14ac:dyDescent="0.25">
      <c r="J1" s="54"/>
      <c r="K1" s="54"/>
      <c r="L1" s="54"/>
      <c r="M1" s="114" t="s">
        <v>123</v>
      </c>
      <c r="N1" s="114"/>
      <c r="O1" s="114"/>
      <c r="P1" s="114"/>
      <c r="Q1" s="114"/>
      <c r="R1" s="114"/>
    </row>
    <row r="2" spans="1:33" ht="47.25" customHeight="1" x14ac:dyDescent="0.25">
      <c r="G2" s="21"/>
      <c r="H2" s="21"/>
      <c r="I2" s="22"/>
      <c r="J2" s="55"/>
      <c r="K2" s="55"/>
      <c r="L2" s="55"/>
      <c r="M2" s="115" t="s">
        <v>122</v>
      </c>
      <c r="N2" s="115"/>
      <c r="O2" s="115"/>
      <c r="P2" s="115"/>
      <c r="Q2" s="115"/>
      <c r="R2" s="115"/>
    </row>
    <row r="3" spans="1:33" ht="25.5" customHeight="1" x14ac:dyDescent="0.25">
      <c r="G3" s="23"/>
      <c r="H3" s="23"/>
      <c r="I3" s="23"/>
      <c r="J3" s="23"/>
      <c r="K3" s="23"/>
      <c r="L3" s="23"/>
    </row>
    <row r="4" spans="1:33" ht="35.25" customHeight="1" x14ac:dyDescent="0.3">
      <c r="A4" s="124" t="s">
        <v>3</v>
      </c>
      <c r="B4" s="124"/>
      <c r="C4" s="124"/>
      <c r="D4" s="124"/>
      <c r="E4" s="124"/>
      <c r="F4" s="124"/>
      <c r="G4" s="124"/>
      <c r="H4" s="124"/>
      <c r="I4" s="124"/>
      <c r="J4" s="124"/>
      <c r="K4" s="124"/>
      <c r="L4" s="124"/>
      <c r="M4" s="124"/>
      <c r="N4" s="124"/>
      <c r="O4" s="124"/>
      <c r="P4" s="124"/>
      <c r="Q4" s="38"/>
      <c r="R4" s="38"/>
    </row>
    <row r="5" spans="1:33" ht="42.75" customHeight="1" x14ac:dyDescent="0.25">
      <c r="A5" s="128" t="s">
        <v>33</v>
      </c>
      <c r="B5" s="128"/>
      <c r="C5" s="128"/>
      <c r="D5" s="128"/>
      <c r="E5" s="128"/>
      <c r="F5" s="128"/>
      <c r="G5" s="128"/>
      <c r="H5" s="128"/>
      <c r="I5" s="128"/>
      <c r="J5" s="128"/>
      <c r="K5" s="128"/>
      <c r="L5" s="128"/>
      <c r="M5" s="128"/>
      <c r="N5" s="128"/>
      <c r="O5" s="128"/>
      <c r="P5" s="128"/>
      <c r="Q5" s="128"/>
      <c r="R5" s="128"/>
    </row>
    <row r="6" spans="1:33" s="6" customFormat="1" ht="22.5" customHeight="1" x14ac:dyDescent="0.25">
      <c r="A6" s="123" t="s">
        <v>0</v>
      </c>
      <c r="B6" s="123" t="s">
        <v>7</v>
      </c>
      <c r="C6" s="123" t="s">
        <v>10</v>
      </c>
      <c r="D6" s="123" t="s">
        <v>11</v>
      </c>
      <c r="E6" s="123" t="s">
        <v>2</v>
      </c>
      <c r="F6" s="123"/>
      <c r="G6" s="123"/>
      <c r="H6" s="123"/>
      <c r="I6" s="125" t="s">
        <v>23</v>
      </c>
      <c r="J6" s="126"/>
      <c r="K6" s="126"/>
      <c r="L6" s="126"/>
      <c r="M6" s="126"/>
      <c r="N6" s="126"/>
      <c r="O6" s="126"/>
      <c r="P6" s="126"/>
      <c r="Q6" s="126"/>
      <c r="R6" s="127"/>
      <c r="Y6" s="49"/>
    </row>
    <row r="7" spans="1:33" s="6" customFormat="1" ht="35.25" customHeight="1" x14ac:dyDescent="0.25">
      <c r="A7" s="123"/>
      <c r="B7" s="123"/>
      <c r="C7" s="123"/>
      <c r="D7" s="123"/>
      <c r="E7" s="34"/>
      <c r="F7" s="34" t="s">
        <v>4</v>
      </c>
      <c r="G7" s="34" t="s">
        <v>5</v>
      </c>
      <c r="H7" s="34" t="s">
        <v>1</v>
      </c>
      <c r="I7" s="34" t="s">
        <v>6</v>
      </c>
      <c r="J7" s="19" t="s">
        <v>14</v>
      </c>
      <c r="K7" s="19" t="s">
        <v>15</v>
      </c>
      <c r="L7" s="34" t="s">
        <v>16</v>
      </c>
      <c r="M7" s="10" t="s">
        <v>35</v>
      </c>
      <c r="N7" s="10" t="s">
        <v>42</v>
      </c>
      <c r="O7" s="10" t="s">
        <v>44</v>
      </c>
      <c r="P7" s="10" t="s">
        <v>45</v>
      </c>
      <c r="Q7" s="10" t="s">
        <v>46</v>
      </c>
      <c r="R7" s="10" t="s">
        <v>111</v>
      </c>
      <c r="S7" s="24"/>
      <c r="T7" s="10" t="s">
        <v>42</v>
      </c>
      <c r="V7" s="6">
        <v>2021</v>
      </c>
      <c r="W7" s="6">
        <v>2022</v>
      </c>
      <c r="X7" s="6">
        <v>2023</v>
      </c>
      <c r="Y7" s="49">
        <v>2021</v>
      </c>
      <c r="Z7" s="6">
        <v>2022</v>
      </c>
      <c r="AA7" s="6">
        <v>2023</v>
      </c>
      <c r="AE7" s="10" t="s">
        <v>42</v>
      </c>
    </row>
    <row r="8" spans="1:33" s="6" customFormat="1" ht="16.5" customHeight="1" x14ac:dyDescent="0.25">
      <c r="A8" s="34">
        <v>1</v>
      </c>
      <c r="B8" s="34">
        <v>2</v>
      </c>
      <c r="C8" s="34">
        <v>3</v>
      </c>
      <c r="D8" s="34">
        <v>4</v>
      </c>
      <c r="E8" s="34">
        <v>5</v>
      </c>
      <c r="F8" s="34">
        <v>6</v>
      </c>
      <c r="G8" s="34">
        <v>7</v>
      </c>
      <c r="H8" s="34">
        <v>8</v>
      </c>
      <c r="I8" s="34">
        <v>9</v>
      </c>
      <c r="J8" s="34">
        <v>10</v>
      </c>
      <c r="K8" s="34">
        <v>11</v>
      </c>
      <c r="L8" s="34">
        <v>12</v>
      </c>
      <c r="M8" s="10">
        <v>13</v>
      </c>
      <c r="N8" s="12">
        <v>14</v>
      </c>
      <c r="O8" s="10">
        <v>15</v>
      </c>
      <c r="P8" s="10">
        <v>16</v>
      </c>
      <c r="Q8" s="10">
        <v>17</v>
      </c>
      <c r="R8" s="10">
        <v>17</v>
      </c>
      <c r="T8" s="11">
        <v>14</v>
      </c>
      <c r="Y8" s="49"/>
      <c r="AE8" s="12">
        <v>14</v>
      </c>
    </row>
    <row r="9" spans="1:33" s="6" customFormat="1" ht="29.25" customHeight="1" x14ac:dyDescent="0.25">
      <c r="A9" s="35">
        <v>1</v>
      </c>
      <c r="B9" s="129" t="s">
        <v>13</v>
      </c>
      <c r="C9" s="130"/>
      <c r="D9" s="130"/>
      <c r="E9" s="130"/>
      <c r="F9" s="130"/>
      <c r="G9" s="130"/>
      <c r="H9" s="130"/>
      <c r="I9" s="130"/>
      <c r="J9" s="130"/>
      <c r="K9" s="130"/>
      <c r="L9" s="130"/>
      <c r="M9" s="130"/>
      <c r="N9" s="130"/>
      <c r="O9" s="130"/>
      <c r="P9" s="130"/>
      <c r="Q9" s="130"/>
      <c r="R9" s="131"/>
      <c r="Y9" s="49"/>
    </row>
    <row r="10" spans="1:33" s="6" customFormat="1" ht="57" customHeight="1" x14ac:dyDescent="0.25">
      <c r="A10" s="106">
        <v>2</v>
      </c>
      <c r="B10" s="107" t="s">
        <v>50</v>
      </c>
      <c r="C10" s="97" t="s">
        <v>125</v>
      </c>
      <c r="D10" s="78" t="s">
        <v>8</v>
      </c>
      <c r="E10" s="78" t="s">
        <v>12</v>
      </c>
      <c r="F10" s="78" t="s">
        <v>12</v>
      </c>
      <c r="G10" s="78" t="s">
        <v>12</v>
      </c>
      <c r="H10" s="78" t="s">
        <v>12</v>
      </c>
      <c r="I10" s="59">
        <f>SUM(J10:R10)</f>
        <v>4691799963.79</v>
      </c>
      <c r="J10" s="59">
        <f t="shared" ref="J10:R10" si="0">J13+J22+J31+J29+J37+J43</f>
        <v>384505850.44</v>
      </c>
      <c r="K10" s="59">
        <f t="shared" si="0"/>
        <v>439151691.36000001</v>
      </c>
      <c r="L10" s="59">
        <f t="shared" si="0"/>
        <v>478637326.44999999</v>
      </c>
      <c r="M10" s="59">
        <f t="shared" si="0"/>
        <v>551321512.23000002</v>
      </c>
      <c r="N10" s="59">
        <f t="shared" si="0"/>
        <v>878942406.91000009</v>
      </c>
      <c r="O10" s="59">
        <f>O13+O22+O31+O29+O37+O43</f>
        <v>540108064.11000001</v>
      </c>
      <c r="P10" s="59">
        <f t="shared" si="0"/>
        <v>491105097.43000001</v>
      </c>
      <c r="Q10" s="59">
        <f t="shared" ref="Q10" si="1">Q13+Q22+Q31+Q29+Q37+Q43</f>
        <v>464014007.43000001</v>
      </c>
      <c r="R10" s="59">
        <f t="shared" si="0"/>
        <v>464014007.43000001</v>
      </c>
      <c r="S10" s="5"/>
      <c r="T10" s="1">
        <f>T13+T22+T31+T29+T37+T43</f>
        <v>889256151.29999995</v>
      </c>
      <c r="U10" s="5">
        <f t="shared" ref="U10:U19" si="2">N10-T10</f>
        <v>-10313744.389999866</v>
      </c>
      <c r="V10" s="1">
        <f>V13+V22+V31+V29+V37+V43</f>
        <v>488512658.48000002</v>
      </c>
      <c r="W10" s="1">
        <f t="shared" ref="W10:X10" si="3">W13+W22+W31+W29+W37+W43</f>
        <v>549442357.57000005</v>
      </c>
      <c r="X10" s="1">
        <f t="shared" si="3"/>
        <v>549844357.57000005</v>
      </c>
      <c r="Y10" s="50">
        <f t="shared" ref="Y10:Y19" si="4">O10-V10</f>
        <v>51595405.629999995</v>
      </c>
      <c r="Z10" s="5">
        <f t="shared" ref="Z10:Z19" si="5">P10-W10</f>
        <v>-58337260.140000045</v>
      </c>
      <c r="AA10" s="5">
        <f t="shared" ref="AA10:AA19" si="6">R10-X10</f>
        <v>-85830350.140000045</v>
      </c>
      <c r="AE10" s="1">
        <f t="shared" ref="AE10" si="7">AE13+AE22+AE31+AE29+AE37+AE43</f>
        <v>878942406.91000009</v>
      </c>
      <c r="AG10" s="5">
        <f t="shared" ref="AG10:AG19" si="8">N10-AE10</f>
        <v>0</v>
      </c>
    </row>
    <row r="11" spans="1:33" s="6" customFormat="1" ht="58.5" customHeight="1" x14ac:dyDescent="0.25">
      <c r="A11" s="106"/>
      <c r="B11" s="107"/>
      <c r="C11" s="97"/>
      <c r="D11" s="78" t="s">
        <v>30</v>
      </c>
      <c r="E11" s="78" t="s">
        <v>12</v>
      </c>
      <c r="F11" s="78" t="s">
        <v>12</v>
      </c>
      <c r="G11" s="78" t="s">
        <v>12</v>
      </c>
      <c r="H11" s="78" t="s">
        <v>12</v>
      </c>
      <c r="I11" s="59">
        <f t="shared" ref="I11:I22" si="9">SUM(J11:R11)</f>
        <v>734444288.25999999</v>
      </c>
      <c r="J11" s="59">
        <f>J18+J78+J82+J40+J74+J21+J119</f>
        <v>6205500</v>
      </c>
      <c r="K11" s="59">
        <f>K18+K78+K82+K40+K74+K21+K119</f>
        <v>44705596.890000001</v>
      </c>
      <c r="L11" s="59">
        <f t="shared" ref="L11:R11" si="10">L18+L78+L82+L40+L74+L21+L119</f>
        <v>8111483.2999999998</v>
      </c>
      <c r="M11" s="59">
        <f t="shared" si="10"/>
        <v>494801684</v>
      </c>
      <c r="N11" s="59">
        <f t="shared" si="10"/>
        <v>39020065.890000001</v>
      </c>
      <c r="O11" s="59">
        <f t="shared" si="10"/>
        <v>41508378.030000001</v>
      </c>
      <c r="P11" s="59">
        <f t="shared" si="10"/>
        <v>41533780.149999999</v>
      </c>
      <c r="Q11" s="59">
        <f t="shared" ref="Q11" si="11">Q18+Q78+Q82+Q40+Q74+Q21+Q119</f>
        <v>29272000</v>
      </c>
      <c r="R11" s="59">
        <f t="shared" si="10"/>
        <v>29285800</v>
      </c>
      <c r="S11" s="5"/>
      <c r="T11" s="1">
        <f>T14+T78+T82+T38+T74</f>
        <v>39020065.890000001</v>
      </c>
      <c r="U11" s="5">
        <f t="shared" si="2"/>
        <v>0</v>
      </c>
      <c r="V11" s="1">
        <f>V18+V78+V82+V40+V74+V21</f>
        <v>33612199.030000001</v>
      </c>
      <c r="W11" s="1">
        <f t="shared" ref="W11:X11" si="12">W18+W78+W82+W40+W74+W21</f>
        <v>32881958.460000001</v>
      </c>
      <c r="X11" s="1">
        <f t="shared" si="12"/>
        <v>27238205.02</v>
      </c>
      <c r="Y11" s="50">
        <f t="shared" si="4"/>
        <v>7896179</v>
      </c>
      <c r="Z11" s="5">
        <f t="shared" si="5"/>
        <v>8651821.6899999976</v>
      </c>
      <c r="AA11" s="5">
        <f t="shared" si="6"/>
        <v>2047594.9800000004</v>
      </c>
      <c r="AE11" s="1">
        <f>AE14+AE78+AE82+AE38+AE74</f>
        <v>39020065.890000001</v>
      </c>
      <c r="AG11" s="5">
        <f t="shared" si="8"/>
        <v>0</v>
      </c>
    </row>
    <row r="12" spans="1:33" s="6" customFormat="1" ht="96" customHeight="1" x14ac:dyDescent="0.25">
      <c r="A12" s="106"/>
      <c r="B12" s="107"/>
      <c r="C12" s="97"/>
      <c r="D12" s="78" t="s">
        <v>37</v>
      </c>
      <c r="E12" s="78" t="s">
        <v>12</v>
      </c>
      <c r="F12" s="78" t="s">
        <v>12</v>
      </c>
      <c r="G12" s="78" t="s">
        <v>12</v>
      </c>
      <c r="H12" s="78" t="s">
        <v>12</v>
      </c>
      <c r="I12" s="59">
        <f t="shared" si="9"/>
        <v>100932002</v>
      </c>
      <c r="J12" s="59">
        <v>0</v>
      </c>
      <c r="K12" s="59">
        <f>K144</f>
        <v>100438120</v>
      </c>
      <c r="L12" s="59">
        <v>0</v>
      </c>
      <c r="M12" s="56">
        <v>0</v>
      </c>
      <c r="N12" s="56">
        <f>N75</f>
        <v>493882</v>
      </c>
      <c r="O12" s="56">
        <v>0</v>
      </c>
      <c r="P12" s="56">
        <v>0</v>
      </c>
      <c r="Q12" s="56">
        <v>0</v>
      </c>
      <c r="R12" s="56">
        <v>0</v>
      </c>
      <c r="S12" s="5"/>
      <c r="T12" s="4">
        <f>T75</f>
        <v>493882</v>
      </c>
      <c r="U12" s="5">
        <f t="shared" si="2"/>
        <v>0</v>
      </c>
      <c r="V12" s="4">
        <v>0</v>
      </c>
      <c r="W12" s="4">
        <v>0</v>
      </c>
      <c r="X12" s="4">
        <v>0</v>
      </c>
      <c r="Y12" s="50">
        <f t="shared" si="4"/>
        <v>0</v>
      </c>
      <c r="Z12" s="5">
        <f t="shared" si="5"/>
        <v>0</v>
      </c>
      <c r="AA12" s="5">
        <f t="shared" si="6"/>
        <v>0</v>
      </c>
      <c r="AE12" s="4">
        <f>AE75</f>
        <v>493882</v>
      </c>
      <c r="AG12" s="5">
        <f t="shared" si="8"/>
        <v>0</v>
      </c>
    </row>
    <row r="13" spans="1:33" s="6" customFormat="1" ht="48" customHeight="1" x14ac:dyDescent="0.25">
      <c r="A13" s="98">
        <v>3</v>
      </c>
      <c r="B13" s="101" t="s">
        <v>51</v>
      </c>
      <c r="C13" s="101" t="s">
        <v>126</v>
      </c>
      <c r="D13" s="78" t="s">
        <v>8</v>
      </c>
      <c r="E13" s="78" t="s">
        <v>12</v>
      </c>
      <c r="F13" s="78" t="s">
        <v>12</v>
      </c>
      <c r="G13" s="78" t="s">
        <v>12</v>
      </c>
      <c r="H13" s="78" t="s">
        <v>12</v>
      </c>
      <c r="I13" s="59">
        <f>SUM(J13:R13)</f>
        <v>126769787.09999999</v>
      </c>
      <c r="J13" s="59">
        <f t="shared" ref="J13:R13" si="13">J15</f>
        <v>9533300.5500000007</v>
      </c>
      <c r="K13" s="59">
        <f t="shared" si="13"/>
        <v>13147554.710000001</v>
      </c>
      <c r="L13" s="59">
        <f>L15</f>
        <v>12371408.289999999</v>
      </c>
      <c r="M13" s="56">
        <f t="shared" si="13"/>
        <v>15707042.35</v>
      </c>
      <c r="N13" s="56">
        <f t="shared" si="13"/>
        <v>13641133.68</v>
      </c>
      <c r="O13" s="56">
        <f>O15</f>
        <v>11747410.130000001</v>
      </c>
      <c r="P13" s="56">
        <f t="shared" si="13"/>
        <v>16873979.130000003</v>
      </c>
      <c r="Q13" s="56">
        <f t="shared" ref="Q13" si="14">Q15</f>
        <v>16873979.129999999</v>
      </c>
      <c r="R13" s="56">
        <f t="shared" si="13"/>
        <v>16873979.129999999</v>
      </c>
      <c r="S13" s="5"/>
      <c r="T13" s="4">
        <f>T15</f>
        <v>13641133.68</v>
      </c>
      <c r="U13" s="5">
        <f t="shared" si="2"/>
        <v>0</v>
      </c>
      <c r="V13" s="4">
        <f>V15</f>
        <v>17180540.240000002</v>
      </c>
      <c r="W13" s="4">
        <f t="shared" ref="W13:X13" si="15">W15</f>
        <v>18873979.129999999</v>
      </c>
      <c r="X13" s="4">
        <f t="shared" si="15"/>
        <v>18873979.129999999</v>
      </c>
      <c r="Y13" s="50">
        <f t="shared" si="4"/>
        <v>-5433130.1100000013</v>
      </c>
      <c r="Z13" s="5">
        <f t="shared" si="5"/>
        <v>-1999999.9999999963</v>
      </c>
      <c r="AA13" s="5">
        <f t="shared" si="6"/>
        <v>-2000000</v>
      </c>
      <c r="AE13" s="4">
        <f t="shared" ref="AE13" si="16">AE15</f>
        <v>13641133.68</v>
      </c>
      <c r="AG13" s="5">
        <f t="shared" si="8"/>
        <v>0</v>
      </c>
    </row>
    <row r="14" spans="1:33" s="6" customFormat="1" ht="48" customHeight="1" x14ac:dyDescent="0.25">
      <c r="A14" s="100"/>
      <c r="B14" s="102"/>
      <c r="C14" s="102"/>
      <c r="D14" s="78" t="s">
        <v>30</v>
      </c>
      <c r="E14" s="78" t="s">
        <v>12</v>
      </c>
      <c r="F14" s="78" t="s">
        <v>12</v>
      </c>
      <c r="G14" s="78" t="s">
        <v>12</v>
      </c>
      <c r="H14" s="78" t="s">
        <v>12</v>
      </c>
      <c r="I14" s="59">
        <f t="shared" si="9"/>
        <v>2099000</v>
      </c>
      <c r="J14" s="56">
        <f t="shared" ref="J14:N14" si="17">J18+J21</f>
        <v>0</v>
      </c>
      <c r="K14" s="56">
        <f t="shared" si="17"/>
        <v>0</v>
      </c>
      <c r="L14" s="56">
        <f t="shared" si="17"/>
        <v>0</v>
      </c>
      <c r="M14" s="56">
        <f t="shared" si="17"/>
        <v>0</v>
      </c>
      <c r="N14" s="56">
        <f t="shared" si="17"/>
        <v>400000</v>
      </c>
      <c r="O14" s="56">
        <f>O18+O21</f>
        <v>330000</v>
      </c>
      <c r="P14" s="56">
        <f t="shared" ref="P14:R14" si="18">P18+P21</f>
        <v>665600</v>
      </c>
      <c r="Q14" s="56">
        <f t="shared" ref="Q14" si="19">Q18+Q21</f>
        <v>344800</v>
      </c>
      <c r="R14" s="56">
        <f t="shared" si="18"/>
        <v>358600</v>
      </c>
      <c r="S14" s="5"/>
      <c r="T14" s="4">
        <f>T18</f>
        <v>400000</v>
      </c>
      <c r="U14" s="5">
        <f t="shared" si="2"/>
        <v>0</v>
      </c>
      <c r="V14" s="4">
        <f>V18+V21</f>
        <v>330000</v>
      </c>
      <c r="W14" s="4">
        <f t="shared" ref="W14:X14" si="20">W18+W21</f>
        <v>330000</v>
      </c>
      <c r="X14" s="4">
        <f t="shared" si="20"/>
        <v>0</v>
      </c>
      <c r="Y14" s="50">
        <f t="shared" si="4"/>
        <v>0</v>
      </c>
      <c r="Z14" s="5">
        <f t="shared" si="5"/>
        <v>335600</v>
      </c>
      <c r="AA14" s="5">
        <f t="shared" si="6"/>
        <v>358600</v>
      </c>
      <c r="AE14" s="4">
        <f>AE18</f>
        <v>400000</v>
      </c>
      <c r="AG14" s="5">
        <f t="shared" si="8"/>
        <v>0</v>
      </c>
    </row>
    <row r="15" spans="1:33" s="6" customFormat="1" ht="45.75" customHeight="1" x14ac:dyDescent="0.25">
      <c r="A15" s="98">
        <v>4</v>
      </c>
      <c r="B15" s="101" t="s">
        <v>52</v>
      </c>
      <c r="C15" s="101" t="s">
        <v>126</v>
      </c>
      <c r="D15" s="78" t="s">
        <v>8</v>
      </c>
      <c r="E15" s="78" t="s">
        <v>12</v>
      </c>
      <c r="F15" s="78" t="s">
        <v>12</v>
      </c>
      <c r="G15" s="78" t="s">
        <v>12</v>
      </c>
      <c r="H15" s="78" t="s">
        <v>12</v>
      </c>
      <c r="I15" s="59">
        <f t="shared" si="9"/>
        <v>126769787.09999999</v>
      </c>
      <c r="J15" s="59">
        <f t="shared" ref="J15:R15" si="21">J17+J19</f>
        <v>9533300.5500000007</v>
      </c>
      <c r="K15" s="71">
        <f t="shared" si="21"/>
        <v>13147554.710000001</v>
      </c>
      <c r="L15" s="71">
        <f t="shared" si="21"/>
        <v>12371408.289999999</v>
      </c>
      <c r="M15" s="56">
        <f t="shared" si="21"/>
        <v>15707042.35</v>
      </c>
      <c r="N15" s="56">
        <f t="shared" si="21"/>
        <v>13641133.68</v>
      </c>
      <c r="O15" s="56">
        <f t="shared" si="21"/>
        <v>11747410.130000001</v>
      </c>
      <c r="P15" s="56">
        <f t="shared" si="21"/>
        <v>16873979.130000003</v>
      </c>
      <c r="Q15" s="56">
        <f t="shared" ref="Q15" si="22">Q17+Q19</f>
        <v>16873979.129999999</v>
      </c>
      <c r="R15" s="56">
        <f t="shared" si="21"/>
        <v>16873979.129999999</v>
      </c>
      <c r="S15" s="5"/>
      <c r="T15" s="4">
        <v>13641133.68</v>
      </c>
      <c r="U15" s="5">
        <f t="shared" si="2"/>
        <v>0</v>
      </c>
      <c r="V15" s="4">
        <f t="shared" ref="V15:X15" si="23">V17+V19</f>
        <v>17180540.240000002</v>
      </c>
      <c r="W15" s="4">
        <f t="shared" si="23"/>
        <v>18873979.129999999</v>
      </c>
      <c r="X15" s="4">
        <f t="shared" si="23"/>
        <v>18873979.129999999</v>
      </c>
      <c r="Y15" s="50">
        <f t="shared" si="4"/>
        <v>-5433130.1100000013</v>
      </c>
      <c r="Z15" s="5">
        <f t="shared" si="5"/>
        <v>-1999999.9999999963</v>
      </c>
      <c r="AA15" s="5">
        <f t="shared" si="6"/>
        <v>-2000000</v>
      </c>
      <c r="AE15" s="4">
        <f t="shared" ref="AE15" si="24">AE17+AE19</f>
        <v>13641133.68</v>
      </c>
      <c r="AG15" s="5">
        <f t="shared" si="8"/>
        <v>0</v>
      </c>
    </row>
    <row r="16" spans="1:33" s="6" customFormat="1" ht="45.75" customHeight="1" x14ac:dyDescent="0.25">
      <c r="A16" s="100"/>
      <c r="B16" s="102"/>
      <c r="C16" s="102"/>
      <c r="D16" s="78" t="s">
        <v>30</v>
      </c>
      <c r="E16" s="78" t="s">
        <v>12</v>
      </c>
      <c r="F16" s="78" t="s">
        <v>12</v>
      </c>
      <c r="G16" s="78" t="s">
        <v>12</v>
      </c>
      <c r="H16" s="78" t="s">
        <v>12</v>
      </c>
      <c r="I16" s="59">
        <f t="shared" si="9"/>
        <v>2099000</v>
      </c>
      <c r="J16" s="59">
        <v>0</v>
      </c>
      <c r="K16" s="71">
        <v>0</v>
      </c>
      <c r="L16" s="59">
        <v>0</v>
      </c>
      <c r="M16" s="56">
        <v>0</v>
      </c>
      <c r="N16" s="56">
        <f>N18+N21</f>
        <v>400000</v>
      </c>
      <c r="O16" s="56">
        <f t="shared" ref="O16:R16" si="25">O18+O21</f>
        <v>330000</v>
      </c>
      <c r="P16" s="56">
        <f t="shared" si="25"/>
        <v>665600</v>
      </c>
      <c r="Q16" s="56">
        <f t="shared" si="25"/>
        <v>344800</v>
      </c>
      <c r="R16" s="56">
        <f t="shared" si="25"/>
        <v>358600</v>
      </c>
      <c r="S16" s="5"/>
      <c r="T16" s="4">
        <f>T18</f>
        <v>400000</v>
      </c>
      <c r="U16" s="5">
        <f t="shared" si="2"/>
        <v>0</v>
      </c>
      <c r="V16" s="4">
        <f>V18</f>
        <v>0</v>
      </c>
      <c r="W16" s="4">
        <f>W18</f>
        <v>0</v>
      </c>
      <c r="X16" s="4">
        <v>0</v>
      </c>
      <c r="Y16" s="50">
        <f t="shared" si="4"/>
        <v>330000</v>
      </c>
      <c r="Z16" s="5">
        <f t="shared" si="5"/>
        <v>665600</v>
      </c>
      <c r="AA16" s="5">
        <f t="shared" si="6"/>
        <v>358600</v>
      </c>
      <c r="AE16" s="4">
        <f>AE18</f>
        <v>400000</v>
      </c>
      <c r="AG16" s="5">
        <f t="shared" si="8"/>
        <v>0</v>
      </c>
    </row>
    <row r="17" spans="1:33" s="6" customFormat="1" ht="49.5" customHeight="1" x14ac:dyDescent="0.25">
      <c r="A17" s="98">
        <v>5</v>
      </c>
      <c r="B17" s="101" t="s">
        <v>128</v>
      </c>
      <c r="C17" s="101" t="s">
        <v>126</v>
      </c>
      <c r="D17" s="78" t="s">
        <v>8</v>
      </c>
      <c r="E17" s="78" t="s">
        <v>12</v>
      </c>
      <c r="F17" s="78" t="s">
        <v>12</v>
      </c>
      <c r="G17" s="78" t="s">
        <v>12</v>
      </c>
      <c r="H17" s="78" t="s">
        <v>12</v>
      </c>
      <c r="I17" s="59">
        <f t="shared" si="9"/>
        <v>123740074.90000001</v>
      </c>
      <c r="J17" s="59">
        <f>5906497.55+597090.8</f>
        <v>6503588.3499999996</v>
      </c>
      <c r="K17" s="59">
        <f>6164146+2000000+6900000-777174.7-1139416.59</f>
        <v>13147554.710000001</v>
      </c>
      <c r="L17" s="59">
        <f>12234868.61+136539.68</f>
        <v>12371408.289999999</v>
      </c>
      <c r="M17" s="56">
        <v>15707042.35</v>
      </c>
      <c r="N17" s="56">
        <v>13641133.68</v>
      </c>
      <c r="O17" s="56">
        <v>11747410.130000001</v>
      </c>
      <c r="P17" s="56">
        <f>5126569+11747410.13</f>
        <v>16873979.130000003</v>
      </c>
      <c r="Q17" s="56">
        <v>16873979.129999999</v>
      </c>
      <c r="R17" s="56">
        <v>16873979.129999999</v>
      </c>
      <c r="S17" s="5"/>
      <c r="T17" s="4">
        <v>13641133.68</v>
      </c>
      <c r="U17" s="5">
        <f t="shared" si="2"/>
        <v>0</v>
      </c>
      <c r="V17" s="46">
        <f>3433130.11+11747410.13</f>
        <v>15180540.24</v>
      </c>
      <c r="W17" s="4">
        <v>16873979.129999999</v>
      </c>
      <c r="X17" s="4">
        <v>16873979.129999999</v>
      </c>
      <c r="Y17" s="50">
        <f t="shared" si="4"/>
        <v>-3433130.1099999994</v>
      </c>
      <c r="Z17" s="5">
        <f t="shared" si="5"/>
        <v>0</v>
      </c>
      <c r="AA17" s="5">
        <f t="shared" si="6"/>
        <v>0</v>
      </c>
      <c r="AE17" s="4">
        <v>13641133.68</v>
      </c>
      <c r="AG17" s="5">
        <f t="shared" si="8"/>
        <v>0</v>
      </c>
    </row>
    <row r="18" spans="1:33" s="6" customFormat="1" ht="49.5" customHeight="1" x14ac:dyDescent="0.25">
      <c r="A18" s="100"/>
      <c r="B18" s="102"/>
      <c r="C18" s="102"/>
      <c r="D18" s="78" t="s">
        <v>30</v>
      </c>
      <c r="E18" s="78" t="s">
        <v>12</v>
      </c>
      <c r="F18" s="78" t="s">
        <v>12</v>
      </c>
      <c r="G18" s="78" t="s">
        <v>12</v>
      </c>
      <c r="H18" s="78" t="s">
        <v>12</v>
      </c>
      <c r="I18" s="59">
        <f t="shared" si="9"/>
        <v>730000</v>
      </c>
      <c r="J18" s="59">
        <v>0</v>
      </c>
      <c r="K18" s="59">
        <v>0</v>
      </c>
      <c r="L18" s="59">
        <v>0</v>
      </c>
      <c r="M18" s="56">
        <v>0</v>
      </c>
      <c r="N18" s="56">
        <v>400000</v>
      </c>
      <c r="O18" s="56">
        <v>330000</v>
      </c>
      <c r="P18" s="56">
        <v>0</v>
      </c>
      <c r="Q18" s="56">
        <v>0</v>
      </c>
      <c r="R18" s="56">
        <v>0</v>
      </c>
      <c r="S18" s="5"/>
      <c r="T18" s="4">
        <v>400000</v>
      </c>
      <c r="U18" s="5">
        <f t="shared" si="2"/>
        <v>0</v>
      </c>
      <c r="V18" s="4">
        <v>0</v>
      </c>
      <c r="W18" s="4">
        <v>0</v>
      </c>
      <c r="X18" s="4">
        <v>0</v>
      </c>
      <c r="Y18" s="50">
        <f t="shared" si="4"/>
        <v>330000</v>
      </c>
      <c r="Z18" s="5">
        <f t="shared" si="5"/>
        <v>0</v>
      </c>
      <c r="AA18" s="5">
        <f t="shared" si="6"/>
        <v>0</v>
      </c>
      <c r="AE18" s="4">
        <v>400000</v>
      </c>
      <c r="AG18" s="5">
        <f t="shared" si="8"/>
        <v>0</v>
      </c>
    </row>
    <row r="19" spans="1:33" s="6" customFormat="1" ht="58.5" customHeight="1" x14ac:dyDescent="0.25">
      <c r="A19" s="81">
        <v>6</v>
      </c>
      <c r="B19" s="82" t="s">
        <v>53</v>
      </c>
      <c r="C19" s="101" t="s">
        <v>126</v>
      </c>
      <c r="D19" s="78" t="s">
        <v>8</v>
      </c>
      <c r="E19" s="78" t="s">
        <v>12</v>
      </c>
      <c r="F19" s="78" t="s">
        <v>12</v>
      </c>
      <c r="G19" s="78" t="s">
        <v>12</v>
      </c>
      <c r="H19" s="78" t="s">
        <v>12</v>
      </c>
      <c r="I19" s="59">
        <f t="shared" si="9"/>
        <v>3029712.2</v>
      </c>
      <c r="J19" s="59">
        <f>5208012.5-3240-607951.82-1549472.18-17636.3</f>
        <v>3029712.2</v>
      </c>
      <c r="K19" s="59">
        <v>0</v>
      </c>
      <c r="L19" s="59">
        <v>0</v>
      </c>
      <c r="M19" s="56">
        <f>2000000-2000000</f>
        <v>0</v>
      </c>
      <c r="N19" s="56">
        <v>0</v>
      </c>
      <c r="O19" s="56">
        <v>0</v>
      </c>
      <c r="P19" s="56">
        <v>0</v>
      </c>
      <c r="Q19" s="56">
        <v>0</v>
      </c>
      <c r="R19" s="56">
        <v>0</v>
      </c>
      <c r="S19" s="5"/>
      <c r="T19" s="4">
        <v>0</v>
      </c>
      <c r="U19" s="5">
        <f t="shared" si="2"/>
        <v>0</v>
      </c>
      <c r="V19" s="4">
        <v>2000000</v>
      </c>
      <c r="W19" s="4">
        <v>2000000</v>
      </c>
      <c r="X19" s="4">
        <v>2000000</v>
      </c>
      <c r="Y19" s="50">
        <f t="shared" si="4"/>
        <v>-2000000</v>
      </c>
      <c r="Z19" s="5">
        <f t="shared" si="5"/>
        <v>-2000000</v>
      </c>
      <c r="AA19" s="5">
        <f t="shared" si="6"/>
        <v>-2000000</v>
      </c>
      <c r="AE19" s="4">
        <v>0</v>
      </c>
      <c r="AG19" s="5">
        <f t="shared" si="8"/>
        <v>0</v>
      </c>
    </row>
    <row r="20" spans="1:33" s="6" customFormat="1" ht="60" hidden="1" customHeight="1" x14ac:dyDescent="0.25">
      <c r="A20" s="81"/>
      <c r="B20" s="82"/>
      <c r="C20" s="102"/>
      <c r="D20" s="78"/>
      <c r="E20" s="78"/>
      <c r="F20" s="78"/>
      <c r="G20" s="78"/>
      <c r="H20" s="78"/>
      <c r="I20" s="59">
        <f t="shared" si="9"/>
        <v>0</v>
      </c>
      <c r="J20" s="59"/>
      <c r="K20" s="59"/>
      <c r="L20" s="59"/>
      <c r="M20" s="56"/>
      <c r="N20" s="56"/>
      <c r="O20" s="56"/>
      <c r="P20" s="56"/>
      <c r="Q20" s="56"/>
      <c r="R20" s="56"/>
      <c r="S20" s="5"/>
      <c r="T20" s="4"/>
      <c r="U20" s="5"/>
      <c r="V20" s="4"/>
      <c r="W20" s="4"/>
      <c r="X20" s="4"/>
      <c r="Y20" s="50"/>
      <c r="Z20" s="5"/>
      <c r="AA20" s="5"/>
      <c r="AE20" s="4"/>
      <c r="AG20" s="5"/>
    </row>
    <row r="21" spans="1:33" s="6" customFormat="1" ht="82.5" x14ac:dyDescent="0.25">
      <c r="A21" s="81">
        <v>7</v>
      </c>
      <c r="B21" s="82" t="s">
        <v>108</v>
      </c>
      <c r="C21" s="78" t="s">
        <v>74</v>
      </c>
      <c r="D21" s="78" t="s">
        <v>30</v>
      </c>
      <c r="E21" s="78" t="s">
        <v>12</v>
      </c>
      <c r="F21" s="78" t="s">
        <v>12</v>
      </c>
      <c r="G21" s="78" t="s">
        <v>12</v>
      </c>
      <c r="H21" s="78" t="s">
        <v>12</v>
      </c>
      <c r="I21" s="59">
        <f t="shared" si="9"/>
        <v>1369000</v>
      </c>
      <c r="J21" s="59">
        <v>0</v>
      </c>
      <c r="K21" s="59">
        <v>0</v>
      </c>
      <c r="L21" s="59">
        <v>0</v>
      </c>
      <c r="M21" s="59">
        <v>0</v>
      </c>
      <c r="N21" s="56">
        <v>0</v>
      </c>
      <c r="O21" s="56">
        <v>0</v>
      </c>
      <c r="P21" s="56">
        <v>665600</v>
      </c>
      <c r="Q21" s="56">
        <v>344800</v>
      </c>
      <c r="R21" s="56">
        <v>358600</v>
      </c>
      <c r="S21" s="5"/>
      <c r="T21" s="4"/>
      <c r="U21" s="5"/>
      <c r="V21" s="41">
        <v>330000</v>
      </c>
      <c r="W21" s="41">
        <v>330000</v>
      </c>
      <c r="X21" s="41">
        <v>0</v>
      </c>
      <c r="Y21" s="50"/>
      <c r="Z21" s="5"/>
      <c r="AA21" s="5"/>
      <c r="AE21" s="4"/>
      <c r="AG21" s="5"/>
    </row>
    <row r="22" spans="1:33" s="6" customFormat="1" ht="54" customHeight="1" x14ac:dyDescent="0.25">
      <c r="A22" s="81">
        <v>8</v>
      </c>
      <c r="B22" s="82" t="s">
        <v>124</v>
      </c>
      <c r="C22" s="78" t="s">
        <v>29</v>
      </c>
      <c r="D22" s="78" t="s">
        <v>8</v>
      </c>
      <c r="E22" s="78" t="s">
        <v>12</v>
      </c>
      <c r="F22" s="78" t="s">
        <v>12</v>
      </c>
      <c r="G22" s="78" t="s">
        <v>12</v>
      </c>
      <c r="H22" s="78" t="s">
        <v>12</v>
      </c>
      <c r="I22" s="59">
        <f t="shared" si="9"/>
        <v>24434741.379999999</v>
      </c>
      <c r="J22" s="59">
        <f t="shared" ref="J22:R22" si="26">J23</f>
        <v>2083420.5500000003</v>
      </c>
      <c r="K22" s="59">
        <f t="shared" si="26"/>
        <v>1607599.44</v>
      </c>
      <c r="L22" s="59">
        <f t="shared" si="26"/>
        <v>2916359.91</v>
      </c>
      <c r="M22" s="56">
        <f t="shared" si="26"/>
        <v>2969561.09</v>
      </c>
      <c r="N22" s="56">
        <f>N23</f>
        <v>1826028.85</v>
      </c>
      <c r="O22" s="56">
        <f>O23</f>
        <v>3051773.5399999996</v>
      </c>
      <c r="P22" s="56">
        <f t="shared" si="26"/>
        <v>3326666</v>
      </c>
      <c r="Q22" s="56">
        <f t="shared" si="26"/>
        <v>3326666</v>
      </c>
      <c r="R22" s="56">
        <f t="shared" si="26"/>
        <v>3326666</v>
      </c>
      <c r="S22" s="5"/>
      <c r="T22" s="4">
        <f>T23</f>
        <v>2712366</v>
      </c>
      <c r="U22" s="5">
        <f t="shared" ref="U22:U41" si="27">N22-T22</f>
        <v>-886337.14999999991</v>
      </c>
      <c r="V22" s="4">
        <f>V23</f>
        <v>3226666</v>
      </c>
      <c r="W22" s="4">
        <f t="shared" ref="W22:X22" si="28">W23</f>
        <v>3326666</v>
      </c>
      <c r="X22" s="4">
        <f t="shared" si="28"/>
        <v>3326666</v>
      </c>
      <c r="Y22" s="50">
        <f t="shared" ref="Y22:Y41" si="29">O22-V22</f>
        <v>-174892.46000000043</v>
      </c>
      <c r="Z22" s="5">
        <f t="shared" ref="Z22:Z41" si="30">P22-W22</f>
        <v>0</v>
      </c>
      <c r="AA22" s="5">
        <f t="shared" ref="AA22:AA41" si="31">R22-X22</f>
        <v>0</v>
      </c>
      <c r="AE22" s="4">
        <f>AE23</f>
        <v>1826028.85</v>
      </c>
      <c r="AG22" s="5">
        <f t="shared" ref="AG22:AG41" si="32">N22-AE22</f>
        <v>0</v>
      </c>
    </row>
    <row r="23" spans="1:33" s="6" customFormat="1" ht="56.25" customHeight="1" x14ac:dyDescent="0.25">
      <c r="A23" s="81">
        <v>9</v>
      </c>
      <c r="B23" s="82" t="s">
        <v>54</v>
      </c>
      <c r="C23" s="78" t="s">
        <v>29</v>
      </c>
      <c r="D23" s="78" t="s">
        <v>8</v>
      </c>
      <c r="E23" s="78" t="s">
        <v>12</v>
      </c>
      <c r="F23" s="78" t="s">
        <v>12</v>
      </c>
      <c r="G23" s="78" t="s">
        <v>12</v>
      </c>
      <c r="H23" s="78" t="s">
        <v>12</v>
      </c>
      <c r="I23" s="59">
        <f>SUM(J23:R23)</f>
        <v>24434741.379999999</v>
      </c>
      <c r="J23" s="56">
        <f t="shared" ref="J23:R23" si="33">J25+J26+J27+J28</f>
        <v>2083420.5500000003</v>
      </c>
      <c r="K23" s="56">
        <f t="shared" si="33"/>
        <v>1607599.44</v>
      </c>
      <c r="L23" s="56">
        <f t="shared" si="33"/>
        <v>2916359.91</v>
      </c>
      <c r="M23" s="56">
        <f t="shared" si="33"/>
        <v>2969561.09</v>
      </c>
      <c r="N23" s="56">
        <f t="shared" si="33"/>
        <v>1826028.85</v>
      </c>
      <c r="O23" s="56">
        <f t="shared" si="33"/>
        <v>3051773.5399999996</v>
      </c>
      <c r="P23" s="56">
        <f t="shared" si="33"/>
        <v>3326666</v>
      </c>
      <c r="Q23" s="56">
        <f t="shared" ref="Q23" si="34">Q25+Q26+Q27+Q28</f>
        <v>3326666</v>
      </c>
      <c r="R23" s="56">
        <f t="shared" si="33"/>
        <v>3326666</v>
      </c>
      <c r="S23" s="5"/>
      <c r="T23" s="4">
        <f>T25+T26+T27+T28</f>
        <v>2712366</v>
      </c>
      <c r="U23" s="5">
        <f t="shared" si="27"/>
        <v>-886337.14999999991</v>
      </c>
      <c r="V23" s="4">
        <f t="shared" ref="V23:X23" si="35">V25+V26+V27+V28</f>
        <v>3226666</v>
      </c>
      <c r="W23" s="4">
        <f t="shared" si="35"/>
        <v>3326666</v>
      </c>
      <c r="X23" s="4">
        <f t="shared" si="35"/>
        <v>3326666</v>
      </c>
      <c r="Y23" s="50">
        <f t="shared" si="29"/>
        <v>-174892.46000000043</v>
      </c>
      <c r="Z23" s="5">
        <f t="shared" si="30"/>
        <v>0</v>
      </c>
      <c r="AA23" s="5">
        <f t="shared" si="31"/>
        <v>0</v>
      </c>
      <c r="AC23" s="6" t="s">
        <v>103</v>
      </c>
      <c r="AE23" s="4">
        <f t="shared" ref="AE23" si="36">AE25+AE26+AE27+AE28</f>
        <v>1826028.85</v>
      </c>
      <c r="AG23" s="5">
        <f t="shared" si="32"/>
        <v>0</v>
      </c>
    </row>
    <row r="24" spans="1:33" s="6" customFormat="1" ht="24" customHeight="1" x14ac:dyDescent="0.25">
      <c r="A24" s="106">
        <v>10</v>
      </c>
      <c r="B24" s="97" t="s">
        <v>72</v>
      </c>
      <c r="C24" s="78" t="s">
        <v>24</v>
      </c>
      <c r="D24" s="103"/>
      <c r="E24" s="104"/>
      <c r="F24" s="104"/>
      <c r="G24" s="104"/>
      <c r="H24" s="104"/>
      <c r="I24" s="104"/>
      <c r="J24" s="104"/>
      <c r="K24" s="104"/>
      <c r="L24" s="105"/>
      <c r="M24" s="60"/>
      <c r="N24" s="61"/>
      <c r="O24" s="56"/>
      <c r="P24" s="56"/>
      <c r="Q24" s="56"/>
      <c r="R24" s="56"/>
      <c r="S24" s="31"/>
      <c r="T24" s="7"/>
      <c r="U24" s="5">
        <f t="shared" si="27"/>
        <v>0</v>
      </c>
      <c r="V24" s="4"/>
      <c r="W24" s="4"/>
      <c r="X24" s="4"/>
      <c r="Y24" s="50">
        <f t="shared" si="29"/>
        <v>0</v>
      </c>
      <c r="Z24" s="5">
        <f t="shared" si="30"/>
        <v>0</v>
      </c>
      <c r="AA24" s="5">
        <f t="shared" si="31"/>
        <v>0</v>
      </c>
      <c r="AE24" s="7"/>
      <c r="AG24" s="5">
        <f t="shared" si="32"/>
        <v>0</v>
      </c>
    </row>
    <row r="25" spans="1:33" s="6" customFormat="1" ht="39" customHeight="1" x14ac:dyDescent="0.25">
      <c r="A25" s="106"/>
      <c r="B25" s="97"/>
      <c r="C25" s="78" t="s">
        <v>21</v>
      </c>
      <c r="D25" s="78" t="s">
        <v>8</v>
      </c>
      <c r="E25" s="78" t="s">
        <v>12</v>
      </c>
      <c r="F25" s="78" t="s">
        <v>12</v>
      </c>
      <c r="G25" s="78" t="s">
        <v>12</v>
      </c>
      <c r="H25" s="78" t="s">
        <v>12</v>
      </c>
      <c r="I25" s="59">
        <f t="shared" ref="I25:I44" si="37">SUM(J25:R25)</f>
        <v>8284680.3499999996</v>
      </c>
      <c r="J25" s="59">
        <v>872845.87</v>
      </c>
      <c r="K25" s="62">
        <f>700652-4632.91</f>
        <v>696019.09</v>
      </c>
      <c r="L25" s="62">
        <v>955083.45</v>
      </c>
      <c r="M25" s="62">
        <f>1034559-2401.78</f>
        <v>1032157.22</v>
      </c>
      <c r="N25" s="56">
        <v>610317.44999999995</v>
      </c>
      <c r="O25" s="56">
        <v>1014580.27</v>
      </c>
      <c r="P25" s="56">
        <v>1034559</v>
      </c>
      <c r="Q25" s="56">
        <v>1034559</v>
      </c>
      <c r="R25" s="56">
        <v>1034559</v>
      </c>
      <c r="S25" s="5">
        <f>N25+N60+N69+N90+N98+N104</f>
        <v>3826736.4099999997</v>
      </c>
      <c r="T25" s="4">
        <v>1034559</v>
      </c>
      <c r="U25" s="5">
        <f t="shared" si="27"/>
        <v>-424241.55000000005</v>
      </c>
      <c r="V25" s="4">
        <v>1034559</v>
      </c>
      <c r="W25" s="4">
        <v>1034559</v>
      </c>
      <c r="X25" s="4">
        <v>1034559</v>
      </c>
      <c r="Y25" s="50">
        <f t="shared" si="29"/>
        <v>-19978.729999999981</v>
      </c>
      <c r="Z25" s="5">
        <f t="shared" si="30"/>
        <v>0</v>
      </c>
      <c r="AA25" s="5">
        <f t="shared" si="31"/>
        <v>0</v>
      </c>
      <c r="AE25" s="4">
        <v>610317.44999999995</v>
      </c>
      <c r="AG25" s="5">
        <f t="shared" si="32"/>
        <v>0</v>
      </c>
    </row>
    <row r="26" spans="1:33" s="6" customFormat="1" ht="39" customHeight="1" x14ac:dyDescent="0.25">
      <c r="A26" s="106"/>
      <c r="B26" s="97"/>
      <c r="C26" s="78" t="s">
        <v>19</v>
      </c>
      <c r="D26" s="78" t="s">
        <v>8</v>
      </c>
      <c r="E26" s="78" t="s">
        <v>12</v>
      </c>
      <c r="F26" s="78" t="s">
        <v>12</v>
      </c>
      <c r="G26" s="78" t="s">
        <v>12</v>
      </c>
      <c r="H26" s="78" t="s">
        <v>12</v>
      </c>
      <c r="I26" s="59">
        <f t="shared" si="37"/>
        <v>7875683.8799999999</v>
      </c>
      <c r="J26" s="59">
        <v>600000</v>
      </c>
      <c r="K26" s="83">
        <f>500000</f>
        <v>500000</v>
      </c>
      <c r="L26" s="62">
        <v>902798.25</v>
      </c>
      <c r="M26" s="62">
        <f>1025895.05-65851.51</f>
        <v>960043.54</v>
      </c>
      <c r="N26" s="62">
        <f>615700-2462.35</f>
        <v>613237.65</v>
      </c>
      <c r="O26" s="56">
        <v>999604.44</v>
      </c>
      <c r="P26" s="56">
        <v>1100000</v>
      </c>
      <c r="Q26" s="56">
        <v>1100000</v>
      </c>
      <c r="R26" s="56">
        <v>1100000</v>
      </c>
      <c r="S26" s="5">
        <f>N26+N61+N70+N91+N96+N107</f>
        <v>6260083.2999999998</v>
      </c>
      <c r="T26" s="2">
        <v>615700</v>
      </c>
      <c r="U26" s="5">
        <f t="shared" si="27"/>
        <v>-2462.3499999999767</v>
      </c>
      <c r="V26" s="4">
        <v>1000000</v>
      </c>
      <c r="W26" s="4">
        <v>1100000</v>
      </c>
      <c r="X26" s="4">
        <v>1100000</v>
      </c>
      <c r="Y26" s="50">
        <f t="shared" si="29"/>
        <v>-395.56000000005588</v>
      </c>
      <c r="Z26" s="5">
        <f t="shared" si="30"/>
        <v>0</v>
      </c>
      <c r="AA26" s="5">
        <f t="shared" si="31"/>
        <v>0</v>
      </c>
      <c r="AE26" s="2">
        <f>615700-2462.35</f>
        <v>613237.65</v>
      </c>
      <c r="AG26" s="5">
        <f t="shared" si="32"/>
        <v>0</v>
      </c>
    </row>
    <row r="27" spans="1:33" s="6" customFormat="1" ht="39" customHeight="1" x14ac:dyDescent="0.25">
      <c r="A27" s="106"/>
      <c r="B27" s="97"/>
      <c r="C27" s="78" t="s">
        <v>20</v>
      </c>
      <c r="D27" s="78" t="s">
        <v>8</v>
      </c>
      <c r="E27" s="78" t="s">
        <v>12</v>
      </c>
      <c r="F27" s="78" t="s">
        <v>12</v>
      </c>
      <c r="G27" s="78" t="s">
        <v>12</v>
      </c>
      <c r="H27" s="78" t="s">
        <v>12</v>
      </c>
      <c r="I27" s="59">
        <f t="shared" si="37"/>
        <v>5983352.6699999999</v>
      </c>
      <c r="J27" s="59">
        <v>328022.57</v>
      </c>
      <c r="K27" s="62">
        <f>359536-82901-0.65</f>
        <v>276634.34999999998</v>
      </c>
      <c r="L27" s="62">
        <f>359536+600000-165114.74</f>
        <v>794421.26</v>
      </c>
      <c r="M27" s="57">
        <f>789107-15573.9</f>
        <v>773533.1</v>
      </c>
      <c r="N27" s="57">
        <v>379424.38</v>
      </c>
      <c r="O27" s="57">
        <v>763996.01</v>
      </c>
      <c r="P27" s="56">
        <v>889107</v>
      </c>
      <c r="Q27" s="56">
        <v>889107</v>
      </c>
      <c r="R27" s="56">
        <v>889107</v>
      </c>
      <c r="S27" s="5">
        <f>N27+N71+N62+N92+N103+N97</f>
        <v>4942184.01</v>
      </c>
      <c r="T27" s="3">
        <v>829107</v>
      </c>
      <c r="U27" s="5">
        <f t="shared" si="27"/>
        <v>-449682.62</v>
      </c>
      <c r="V27" s="3">
        <v>889107</v>
      </c>
      <c r="W27" s="4">
        <v>889107</v>
      </c>
      <c r="X27" s="4">
        <v>889107</v>
      </c>
      <c r="Y27" s="50">
        <f t="shared" si="29"/>
        <v>-125110.98999999999</v>
      </c>
      <c r="Z27" s="5">
        <f t="shared" si="30"/>
        <v>0</v>
      </c>
      <c r="AA27" s="5">
        <f t="shared" si="31"/>
        <v>0</v>
      </c>
      <c r="AE27" s="3">
        <v>379424.38</v>
      </c>
      <c r="AG27" s="5">
        <f t="shared" si="32"/>
        <v>0</v>
      </c>
    </row>
    <row r="28" spans="1:33" s="6" customFormat="1" ht="39" customHeight="1" x14ac:dyDescent="0.25">
      <c r="A28" s="106"/>
      <c r="B28" s="97"/>
      <c r="C28" s="78" t="s">
        <v>17</v>
      </c>
      <c r="D28" s="78" t="s">
        <v>8</v>
      </c>
      <c r="E28" s="78" t="s">
        <v>12</v>
      </c>
      <c r="F28" s="78" t="s">
        <v>12</v>
      </c>
      <c r="G28" s="78" t="s">
        <v>12</v>
      </c>
      <c r="H28" s="78" t="s">
        <v>12</v>
      </c>
      <c r="I28" s="59">
        <f t="shared" si="37"/>
        <v>2291024.4800000004</v>
      </c>
      <c r="J28" s="59">
        <v>282552.11</v>
      </c>
      <c r="K28" s="83">
        <f>303000-168054</f>
        <v>134946</v>
      </c>
      <c r="L28" s="62">
        <v>264056.95</v>
      </c>
      <c r="M28" s="57">
        <f>334250-130422.77</f>
        <v>203827.22999999998</v>
      </c>
      <c r="N28" s="56">
        <v>223049.37</v>
      </c>
      <c r="O28" s="56">
        <v>273592.82</v>
      </c>
      <c r="P28" s="56">
        <v>303000</v>
      </c>
      <c r="Q28" s="56">
        <v>303000</v>
      </c>
      <c r="R28" s="56">
        <v>303000</v>
      </c>
      <c r="S28" s="5">
        <f>N28+N59+N72+N93+N99+N102</f>
        <v>4594529.13</v>
      </c>
      <c r="T28" s="4">
        <v>233000</v>
      </c>
      <c r="U28" s="5">
        <f t="shared" si="27"/>
        <v>-9950.6300000000047</v>
      </c>
      <c r="V28" s="4">
        <v>303000</v>
      </c>
      <c r="W28" s="4">
        <v>303000</v>
      </c>
      <c r="X28" s="4">
        <v>303000</v>
      </c>
      <c r="Y28" s="50">
        <f t="shared" si="29"/>
        <v>-29407.179999999993</v>
      </c>
      <c r="Z28" s="5">
        <f t="shared" si="30"/>
        <v>0</v>
      </c>
      <c r="AA28" s="5">
        <f t="shared" si="31"/>
        <v>0</v>
      </c>
      <c r="AE28" s="4">
        <v>223049.37</v>
      </c>
      <c r="AG28" s="5">
        <f t="shared" si="32"/>
        <v>0</v>
      </c>
    </row>
    <row r="29" spans="1:33" s="6" customFormat="1" ht="66.75" customHeight="1" x14ac:dyDescent="0.25">
      <c r="A29" s="81">
        <v>11</v>
      </c>
      <c r="B29" s="78" t="s">
        <v>55</v>
      </c>
      <c r="C29" s="78" t="s">
        <v>102</v>
      </c>
      <c r="D29" s="78" t="s">
        <v>8</v>
      </c>
      <c r="E29" s="78" t="s">
        <v>12</v>
      </c>
      <c r="F29" s="78" t="s">
        <v>12</v>
      </c>
      <c r="G29" s="78" t="s">
        <v>12</v>
      </c>
      <c r="H29" s="78" t="s">
        <v>12</v>
      </c>
      <c r="I29" s="59">
        <f t="shared" si="37"/>
        <v>128774044.48000002</v>
      </c>
      <c r="J29" s="59">
        <v>0</v>
      </c>
      <c r="K29" s="83">
        <v>0</v>
      </c>
      <c r="L29" s="62">
        <f>7700000+300000+2460000</f>
        <v>10460000</v>
      </c>
      <c r="M29" s="57">
        <v>19719007.440000001</v>
      </c>
      <c r="N29" s="56">
        <v>19719007.440000001</v>
      </c>
      <c r="O29" s="56">
        <v>19719007.399999999</v>
      </c>
      <c r="P29" s="56">
        <v>19719007.399999999</v>
      </c>
      <c r="Q29" s="56">
        <v>19719007.399999999</v>
      </c>
      <c r="R29" s="56">
        <v>19719007.399999999</v>
      </c>
      <c r="S29" s="5"/>
      <c r="T29" s="4">
        <v>19719007.440000001</v>
      </c>
      <c r="U29" s="5">
        <f t="shared" si="27"/>
        <v>0</v>
      </c>
      <c r="V29" s="41">
        <v>19719007.399999999</v>
      </c>
      <c r="W29" s="4">
        <v>19719007.399999999</v>
      </c>
      <c r="X29" s="4">
        <v>19719007.399999999</v>
      </c>
      <c r="Y29" s="50">
        <f t="shared" si="29"/>
        <v>0</v>
      </c>
      <c r="Z29" s="5">
        <f t="shared" si="30"/>
        <v>0</v>
      </c>
      <c r="AA29" s="5">
        <f t="shared" si="31"/>
        <v>0</v>
      </c>
      <c r="AE29" s="4">
        <v>19719007.440000001</v>
      </c>
      <c r="AG29" s="5">
        <f t="shared" si="32"/>
        <v>0</v>
      </c>
    </row>
    <row r="30" spans="1:33" s="6" customFormat="1" ht="0.75" hidden="1" customHeight="1" x14ac:dyDescent="0.25">
      <c r="A30" s="81">
        <v>11</v>
      </c>
      <c r="B30" s="78" t="s">
        <v>56</v>
      </c>
      <c r="C30" s="78" t="s">
        <v>43</v>
      </c>
      <c r="D30" s="78" t="s">
        <v>8</v>
      </c>
      <c r="E30" s="78" t="s">
        <v>12</v>
      </c>
      <c r="F30" s="78" t="s">
        <v>12</v>
      </c>
      <c r="G30" s="78" t="s">
        <v>12</v>
      </c>
      <c r="H30" s="78" t="s">
        <v>12</v>
      </c>
      <c r="I30" s="59">
        <f t="shared" si="37"/>
        <v>128776029.60000002</v>
      </c>
      <c r="J30" s="59">
        <v>0</v>
      </c>
      <c r="K30" s="83">
        <v>0</v>
      </c>
      <c r="L30" s="62">
        <f>7700000+300000+2460000</f>
        <v>10460000</v>
      </c>
      <c r="M30" s="57">
        <v>19720000</v>
      </c>
      <c r="N30" s="56">
        <v>19720000</v>
      </c>
      <c r="O30" s="56">
        <f>O29</f>
        <v>19719007.399999999</v>
      </c>
      <c r="P30" s="56">
        <f>P29</f>
        <v>19719007.399999999</v>
      </c>
      <c r="Q30" s="56">
        <f>Q29</f>
        <v>19719007.399999999</v>
      </c>
      <c r="R30" s="56">
        <f>R29</f>
        <v>19719007.399999999</v>
      </c>
      <c r="S30" s="5"/>
      <c r="T30" s="4">
        <v>19720000</v>
      </c>
      <c r="U30" s="5">
        <f t="shared" si="27"/>
        <v>0</v>
      </c>
      <c r="V30" s="4">
        <f>V29</f>
        <v>19719007.399999999</v>
      </c>
      <c r="W30" s="4">
        <f>W29</f>
        <v>19719007.399999999</v>
      </c>
      <c r="X30" s="4">
        <f>X29</f>
        <v>19719007.399999999</v>
      </c>
      <c r="Y30" s="50">
        <f t="shared" si="29"/>
        <v>0</v>
      </c>
      <c r="Z30" s="5">
        <f t="shared" si="30"/>
        <v>0</v>
      </c>
      <c r="AA30" s="5">
        <f t="shared" si="31"/>
        <v>0</v>
      </c>
      <c r="AE30" s="4">
        <v>19720000</v>
      </c>
      <c r="AG30" s="5">
        <f t="shared" si="32"/>
        <v>0</v>
      </c>
    </row>
    <row r="31" spans="1:33" s="6" customFormat="1" ht="61.5" customHeight="1" x14ac:dyDescent="0.25">
      <c r="A31" s="98">
        <v>12</v>
      </c>
      <c r="B31" s="117" t="s">
        <v>87</v>
      </c>
      <c r="C31" s="97" t="s">
        <v>125</v>
      </c>
      <c r="D31" s="78" t="s">
        <v>8</v>
      </c>
      <c r="E31" s="78" t="s">
        <v>12</v>
      </c>
      <c r="F31" s="78" t="s">
        <v>12</v>
      </c>
      <c r="G31" s="78" t="s">
        <v>12</v>
      </c>
      <c r="H31" s="78" t="s">
        <v>12</v>
      </c>
      <c r="I31" s="59">
        <f t="shared" si="37"/>
        <v>4028556726.0500002</v>
      </c>
      <c r="J31" s="56">
        <f t="shared" ref="J31:R31" si="38">J50</f>
        <v>372889129.33999997</v>
      </c>
      <c r="K31" s="56">
        <f t="shared" si="38"/>
        <v>424396537.21000004</v>
      </c>
      <c r="L31" s="56">
        <f t="shared" si="38"/>
        <v>452889558.25</v>
      </c>
      <c r="M31" s="56">
        <f t="shared" si="38"/>
        <v>512472449.95000005</v>
      </c>
      <c r="N31" s="56">
        <f t="shared" si="38"/>
        <v>489229392.56000006</v>
      </c>
      <c r="O31" s="56">
        <f t="shared" si="38"/>
        <v>504396594.04000002</v>
      </c>
      <c r="P31" s="56">
        <f t="shared" si="38"/>
        <v>424094354.90000004</v>
      </c>
      <c r="Q31" s="56">
        <f t="shared" ref="Q31" si="39">Q50</f>
        <v>424094354.90000004</v>
      </c>
      <c r="R31" s="56">
        <f t="shared" si="38"/>
        <v>424094354.90000004</v>
      </c>
      <c r="S31" s="5"/>
      <c r="T31" s="4">
        <f>T50</f>
        <v>484989386.23000002</v>
      </c>
      <c r="U31" s="5">
        <f t="shared" si="27"/>
        <v>4240006.3300000429</v>
      </c>
      <c r="V31" s="4">
        <f t="shared" ref="V31:X31" si="40">V50</f>
        <v>448386444.84000003</v>
      </c>
      <c r="W31" s="4">
        <f t="shared" si="40"/>
        <v>507522705.04000002</v>
      </c>
      <c r="X31" s="4">
        <f t="shared" si="40"/>
        <v>507924705.04000002</v>
      </c>
      <c r="Y31" s="50">
        <f>O31-V31</f>
        <v>56010149.199999988</v>
      </c>
      <c r="Z31" s="5">
        <f t="shared" si="30"/>
        <v>-83428350.139999986</v>
      </c>
      <c r="AA31" s="5">
        <f t="shared" si="31"/>
        <v>-83830350.139999986</v>
      </c>
      <c r="AE31" s="4">
        <f t="shared" ref="AE31" si="41">AE50</f>
        <v>489229392.56000006</v>
      </c>
      <c r="AG31" s="5">
        <f t="shared" si="32"/>
        <v>0</v>
      </c>
    </row>
    <row r="32" spans="1:33" s="6" customFormat="1" ht="59.25" customHeight="1" x14ac:dyDescent="0.25">
      <c r="A32" s="99"/>
      <c r="B32" s="118"/>
      <c r="C32" s="97"/>
      <c r="D32" s="78" t="s">
        <v>30</v>
      </c>
      <c r="E32" s="60" t="s">
        <v>12</v>
      </c>
      <c r="F32" s="60" t="s">
        <v>12</v>
      </c>
      <c r="G32" s="60" t="s">
        <v>12</v>
      </c>
      <c r="H32" s="60" t="s">
        <v>12</v>
      </c>
      <c r="I32" s="59">
        <f t="shared" si="37"/>
        <v>239834619.37</v>
      </c>
      <c r="J32" s="56">
        <f t="shared" ref="J32:R32" si="42">J51</f>
        <v>6205500</v>
      </c>
      <c r="K32" s="56">
        <f t="shared" si="42"/>
        <v>5646328</v>
      </c>
      <c r="L32" s="56">
        <f t="shared" si="42"/>
        <v>8111483.2999999998</v>
      </c>
      <c r="M32" s="56">
        <f t="shared" si="42"/>
        <v>41350284</v>
      </c>
      <c r="N32" s="56">
        <f t="shared" si="42"/>
        <v>38620065.890000001</v>
      </c>
      <c r="O32" s="56">
        <f t="shared" si="42"/>
        <v>41178378.030000001</v>
      </c>
      <c r="P32" s="56">
        <f t="shared" si="42"/>
        <v>40868180.149999999</v>
      </c>
      <c r="Q32" s="56">
        <f t="shared" ref="Q32" si="43">Q51</f>
        <v>28927200</v>
      </c>
      <c r="R32" s="56">
        <f t="shared" si="42"/>
        <v>28927200</v>
      </c>
      <c r="S32" s="5"/>
      <c r="T32" s="4">
        <f>T51</f>
        <v>38620065.890000001</v>
      </c>
      <c r="U32" s="5">
        <f t="shared" si="27"/>
        <v>0</v>
      </c>
      <c r="V32" s="4">
        <v>33282199.030000001</v>
      </c>
      <c r="W32" s="4">
        <f t="shared" ref="W32:X32" si="44">W51</f>
        <v>32551958.460000001</v>
      </c>
      <c r="X32" s="4">
        <f t="shared" si="44"/>
        <v>27238205.02</v>
      </c>
      <c r="Y32" s="50">
        <f t="shared" si="29"/>
        <v>7896179</v>
      </c>
      <c r="Z32" s="5">
        <f t="shared" si="30"/>
        <v>8316221.6899999976</v>
      </c>
      <c r="AA32" s="5">
        <f t="shared" si="31"/>
        <v>1688994.9800000004</v>
      </c>
      <c r="AE32" s="4">
        <f t="shared" ref="AE32" si="45">AE51</f>
        <v>38620065.890000001</v>
      </c>
      <c r="AG32" s="5">
        <f t="shared" si="32"/>
        <v>0</v>
      </c>
    </row>
    <row r="33" spans="1:33" s="6" customFormat="1" ht="90.75" customHeight="1" x14ac:dyDescent="0.25">
      <c r="A33" s="100"/>
      <c r="B33" s="119"/>
      <c r="C33" s="97"/>
      <c r="D33" s="78" t="s">
        <v>37</v>
      </c>
      <c r="E33" s="60" t="s">
        <v>12</v>
      </c>
      <c r="F33" s="60" t="s">
        <v>12</v>
      </c>
      <c r="G33" s="60" t="s">
        <v>12</v>
      </c>
      <c r="H33" s="60" t="s">
        <v>12</v>
      </c>
      <c r="I33" s="59">
        <f t="shared" si="37"/>
        <v>493882</v>
      </c>
      <c r="J33" s="56">
        <f t="shared" ref="J33:R33" si="46">J52</f>
        <v>0</v>
      </c>
      <c r="K33" s="56">
        <f t="shared" si="46"/>
        <v>0</v>
      </c>
      <c r="L33" s="56">
        <f t="shared" si="46"/>
        <v>0</v>
      </c>
      <c r="M33" s="56">
        <f t="shared" si="46"/>
        <v>0</v>
      </c>
      <c r="N33" s="56">
        <f t="shared" si="46"/>
        <v>493882</v>
      </c>
      <c r="O33" s="56">
        <f>O52</f>
        <v>0</v>
      </c>
      <c r="P33" s="56">
        <f t="shared" si="46"/>
        <v>0</v>
      </c>
      <c r="Q33" s="56">
        <f t="shared" ref="Q33" si="47">Q52</f>
        <v>0</v>
      </c>
      <c r="R33" s="56">
        <f t="shared" si="46"/>
        <v>0</v>
      </c>
      <c r="S33" s="5"/>
      <c r="T33" s="4">
        <f>T52</f>
        <v>493882</v>
      </c>
      <c r="U33" s="5">
        <f t="shared" si="27"/>
        <v>0</v>
      </c>
      <c r="V33" s="4">
        <f>V52</f>
        <v>0</v>
      </c>
      <c r="W33" s="4">
        <f t="shared" ref="W33:X33" si="48">W52</f>
        <v>0</v>
      </c>
      <c r="X33" s="4">
        <f t="shared" si="48"/>
        <v>0</v>
      </c>
      <c r="Y33" s="50">
        <f t="shared" si="29"/>
        <v>0</v>
      </c>
      <c r="Z33" s="5">
        <f t="shared" si="30"/>
        <v>0</v>
      </c>
      <c r="AA33" s="5">
        <f t="shared" si="31"/>
        <v>0</v>
      </c>
      <c r="AE33" s="4">
        <f t="shared" ref="AE33" si="49">AE52</f>
        <v>493882</v>
      </c>
      <c r="AG33" s="5">
        <f t="shared" si="32"/>
        <v>0</v>
      </c>
    </row>
    <row r="34" spans="1:33" s="6" customFormat="1" ht="38.25" customHeight="1" x14ac:dyDescent="0.25">
      <c r="A34" s="106">
        <v>13</v>
      </c>
      <c r="B34" s="107" t="s">
        <v>88</v>
      </c>
      <c r="C34" s="97" t="s">
        <v>25</v>
      </c>
      <c r="D34" s="78" t="s">
        <v>37</v>
      </c>
      <c r="E34" s="60" t="s">
        <v>12</v>
      </c>
      <c r="F34" s="60" t="s">
        <v>12</v>
      </c>
      <c r="G34" s="60" t="s">
        <v>12</v>
      </c>
      <c r="H34" s="60" t="s">
        <v>12</v>
      </c>
      <c r="I34" s="59">
        <f t="shared" si="37"/>
        <v>100438120</v>
      </c>
      <c r="J34" s="56">
        <v>0</v>
      </c>
      <c r="K34" s="56">
        <f>K118</f>
        <v>100438120</v>
      </c>
      <c r="L34" s="56">
        <v>0</v>
      </c>
      <c r="M34" s="56">
        <v>0</v>
      </c>
      <c r="N34" s="56">
        <v>0</v>
      </c>
      <c r="O34" s="56">
        <v>0</v>
      </c>
      <c r="P34" s="56">
        <v>0</v>
      </c>
      <c r="Q34" s="56">
        <v>0</v>
      </c>
      <c r="R34" s="56">
        <v>0</v>
      </c>
      <c r="S34" s="5"/>
      <c r="T34" s="4">
        <v>0</v>
      </c>
      <c r="U34" s="5">
        <f t="shared" si="27"/>
        <v>0</v>
      </c>
      <c r="V34" s="4">
        <v>0</v>
      </c>
      <c r="W34" s="4">
        <v>0</v>
      </c>
      <c r="X34" s="4">
        <v>0</v>
      </c>
      <c r="Y34" s="50">
        <f t="shared" si="29"/>
        <v>0</v>
      </c>
      <c r="Z34" s="5">
        <f t="shared" si="30"/>
        <v>0</v>
      </c>
      <c r="AA34" s="5">
        <f t="shared" si="31"/>
        <v>0</v>
      </c>
      <c r="AE34" s="4">
        <v>0</v>
      </c>
      <c r="AG34" s="5">
        <f t="shared" si="32"/>
        <v>0</v>
      </c>
    </row>
    <row r="35" spans="1:33" s="6" customFormat="1" ht="38.25" customHeight="1" x14ac:dyDescent="0.25">
      <c r="A35" s="106"/>
      <c r="B35" s="107"/>
      <c r="C35" s="97"/>
      <c r="D35" s="78" t="s">
        <v>30</v>
      </c>
      <c r="E35" s="60" t="s">
        <v>12</v>
      </c>
      <c r="F35" s="60" t="s">
        <v>12</v>
      </c>
      <c r="G35" s="60" t="s">
        <v>12</v>
      </c>
      <c r="H35" s="60" t="s">
        <v>12</v>
      </c>
      <c r="I35" s="59">
        <f t="shared" si="37"/>
        <v>39059268.890000001</v>
      </c>
      <c r="J35" s="56">
        <v>0</v>
      </c>
      <c r="K35" s="56">
        <f>K119</f>
        <v>39059268.890000001</v>
      </c>
      <c r="L35" s="56">
        <v>0</v>
      </c>
      <c r="M35" s="56">
        <v>0</v>
      </c>
      <c r="N35" s="56">
        <v>0</v>
      </c>
      <c r="O35" s="56">
        <v>0</v>
      </c>
      <c r="P35" s="56">
        <v>0</v>
      </c>
      <c r="Q35" s="56">
        <v>0</v>
      </c>
      <c r="R35" s="56">
        <v>0</v>
      </c>
      <c r="S35" s="5"/>
      <c r="T35" s="4">
        <v>0</v>
      </c>
      <c r="U35" s="5">
        <f t="shared" si="27"/>
        <v>0</v>
      </c>
      <c r="V35" s="4">
        <v>0</v>
      </c>
      <c r="W35" s="4">
        <v>0</v>
      </c>
      <c r="X35" s="4">
        <v>0</v>
      </c>
      <c r="Y35" s="50">
        <f t="shared" si="29"/>
        <v>0</v>
      </c>
      <c r="Z35" s="5">
        <f t="shared" si="30"/>
        <v>0</v>
      </c>
      <c r="AA35" s="5">
        <f t="shared" si="31"/>
        <v>0</v>
      </c>
      <c r="AE35" s="4">
        <v>0</v>
      </c>
      <c r="AG35" s="5">
        <f t="shared" si="32"/>
        <v>0</v>
      </c>
    </row>
    <row r="36" spans="1:33" s="6" customFormat="1" ht="38.25" customHeight="1" x14ac:dyDescent="0.25">
      <c r="A36" s="106"/>
      <c r="B36" s="107"/>
      <c r="C36" s="97"/>
      <c r="D36" s="79" t="s">
        <v>8</v>
      </c>
      <c r="E36" s="84" t="s">
        <v>12</v>
      </c>
      <c r="F36" s="84" t="s">
        <v>12</v>
      </c>
      <c r="G36" s="84" t="s">
        <v>12</v>
      </c>
      <c r="H36" s="84" t="s">
        <v>12</v>
      </c>
      <c r="I36" s="59">
        <f t="shared" si="37"/>
        <v>0</v>
      </c>
      <c r="J36" s="58">
        <v>0</v>
      </c>
      <c r="K36" s="58">
        <v>0</v>
      </c>
      <c r="L36" s="58">
        <v>0</v>
      </c>
      <c r="M36" s="58">
        <v>0</v>
      </c>
      <c r="N36" s="58">
        <v>0</v>
      </c>
      <c r="O36" s="58">
        <v>0</v>
      </c>
      <c r="P36" s="58">
        <v>0</v>
      </c>
      <c r="Q36" s="58">
        <v>0</v>
      </c>
      <c r="R36" s="58">
        <v>0</v>
      </c>
      <c r="S36" s="5"/>
      <c r="T36" s="8">
        <v>0</v>
      </c>
      <c r="U36" s="5">
        <f t="shared" si="27"/>
        <v>0</v>
      </c>
      <c r="V36" s="8">
        <v>0</v>
      </c>
      <c r="W36" s="8">
        <v>0</v>
      </c>
      <c r="X36" s="8">
        <v>0</v>
      </c>
      <c r="Y36" s="50">
        <f t="shared" si="29"/>
        <v>0</v>
      </c>
      <c r="Z36" s="5">
        <f t="shared" si="30"/>
        <v>0</v>
      </c>
      <c r="AA36" s="5">
        <f t="shared" si="31"/>
        <v>0</v>
      </c>
      <c r="AE36" s="8">
        <v>0</v>
      </c>
      <c r="AG36" s="5">
        <f t="shared" si="32"/>
        <v>0</v>
      </c>
    </row>
    <row r="37" spans="1:33" s="17" customFormat="1" ht="40.5" customHeight="1" x14ac:dyDescent="0.25">
      <c r="A37" s="98">
        <v>14</v>
      </c>
      <c r="B37" s="108" t="s">
        <v>89</v>
      </c>
      <c r="C37" s="101" t="s">
        <v>25</v>
      </c>
      <c r="D37" s="79" t="s">
        <v>8</v>
      </c>
      <c r="E37" s="84" t="s">
        <v>12</v>
      </c>
      <c r="F37" s="84" t="s">
        <v>12</v>
      </c>
      <c r="G37" s="84" t="s">
        <v>12</v>
      </c>
      <c r="H37" s="84" t="s">
        <v>12</v>
      </c>
      <c r="I37" s="59">
        <f t="shared" si="37"/>
        <v>381072377.77999997</v>
      </c>
      <c r="J37" s="58">
        <f t="shared" ref="J37:L38" si="50">J39</f>
        <v>0</v>
      </c>
      <c r="K37" s="58">
        <f t="shared" si="50"/>
        <v>0</v>
      </c>
      <c r="L37" s="58">
        <f t="shared" si="50"/>
        <v>0</v>
      </c>
      <c r="M37" s="58">
        <f>M39+M41+M42</f>
        <v>453451.4</v>
      </c>
      <c r="N37" s="58">
        <f t="shared" ref="N37:R37" si="51">N39+N41+N42</f>
        <v>352334557.38</v>
      </c>
      <c r="O37" s="58">
        <f t="shared" si="51"/>
        <v>1193279</v>
      </c>
      <c r="P37" s="58">
        <f t="shared" si="51"/>
        <v>27091090</v>
      </c>
      <c r="Q37" s="58">
        <f t="shared" ref="Q37" si="52">Q39+Q41+Q42</f>
        <v>0</v>
      </c>
      <c r="R37" s="58">
        <f t="shared" si="51"/>
        <v>0</v>
      </c>
      <c r="S37" s="16"/>
      <c r="T37" s="8">
        <f>T39+T41</f>
        <v>366001970.94999999</v>
      </c>
      <c r="U37" s="5">
        <f t="shared" si="27"/>
        <v>-13667413.569999993</v>
      </c>
      <c r="V37" s="8">
        <v>0</v>
      </c>
      <c r="W37" s="8">
        <f t="shared" ref="W37:X37" si="53">W39+W41+W42</f>
        <v>0</v>
      </c>
      <c r="X37" s="8">
        <f t="shared" si="53"/>
        <v>0</v>
      </c>
      <c r="Y37" s="50">
        <f t="shared" si="29"/>
        <v>1193279</v>
      </c>
      <c r="Z37" s="5">
        <f t="shared" si="30"/>
        <v>27091090</v>
      </c>
      <c r="AA37" s="5">
        <f t="shared" si="31"/>
        <v>0</v>
      </c>
      <c r="AE37" s="8">
        <f>AE39+AE41</f>
        <v>352334557.38</v>
      </c>
      <c r="AG37" s="5">
        <f t="shared" si="32"/>
        <v>0</v>
      </c>
    </row>
    <row r="38" spans="1:33" s="17" customFormat="1" ht="40.5" customHeight="1" x14ac:dyDescent="0.25">
      <c r="A38" s="100"/>
      <c r="B38" s="109"/>
      <c r="C38" s="102"/>
      <c r="D38" s="79" t="s">
        <v>30</v>
      </c>
      <c r="E38" s="84" t="s">
        <v>12</v>
      </c>
      <c r="F38" s="84" t="s">
        <v>12</v>
      </c>
      <c r="G38" s="84" t="s">
        <v>12</v>
      </c>
      <c r="H38" s="84" t="s">
        <v>12</v>
      </c>
      <c r="I38" s="59">
        <f t="shared" si="37"/>
        <v>453451400</v>
      </c>
      <c r="J38" s="58">
        <f t="shared" si="50"/>
        <v>0</v>
      </c>
      <c r="K38" s="58">
        <f t="shared" si="50"/>
        <v>0</v>
      </c>
      <c r="L38" s="58">
        <f t="shared" si="50"/>
        <v>0</v>
      </c>
      <c r="M38" s="58">
        <f>M40</f>
        <v>453451400</v>
      </c>
      <c r="N38" s="58">
        <f>N40</f>
        <v>0</v>
      </c>
      <c r="O38" s="58">
        <f>O40+O41</f>
        <v>0</v>
      </c>
      <c r="P38" s="58">
        <f>P40+P41</f>
        <v>0</v>
      </c>
      <c r="Q38" s="58">
        <f>Q40+Q41</f>
        <v>0</v>
      </c>
      <c r="R38" s="58">
        <f>R40+R41</f>
        <v>0</v>
      </c>
      <c r="S38" s="16"/>
      <c r="T38" s="8">
        <f>T40</f>
        <v>0</v>
      </c>
      <c r="U38" s="5">
        <f t="shared" si="27"/>
        <v>0</v>
      </c>
      <c r="V38" s="8">
        <f>V40+V41</f>
        <v>0</v>
      </c>
      <c r="W38" s="8">
        <f>W40+W41</f>
        <v>0</v>
      </c>
      <c r="X38" s="8">
        <f>X40+X41</f>
        <v>0</v>
      </c>
      <c r="Y38" s="50">
        <f t="shared" si="29"/>
        <v>0</v>
      </c>
      <c r="Z38" s="5">
        <f t="shared" si="30"/>
        <v>0</v>
      </c>
      <c r="AA38" s="5">
        <f t="shared" si="31"/>
        <v>0</v>
      </c>
      <c r="AE38" s="8">
        <f>AE40</f>
        <v>0</v>
      </c>
      <c r="AG38" s="5">
        <f t="shared" si="32"/>
        <v>0</v>
      </c>
    </row>
    <row r="39" spans="1:33" s="18" customFormat="1" ht="75" customHeight="1" x14ac:dyDescent="0.25">
      <c r="A39" s="98">
        <v>15</v>
      </c>
      <c r="B39" s="117" t="s">
        <v>99</v>
      </c>
      <c r="C39" s="101" t="s">
        <v>25</v>
      </c>
      <c r="D39" s="78" t="s">
        <v>8</v>
      </c>
      <c r="E39" s="60" t="s">
        <v>12</v>
      </c>
      <c r="F39" s="60" t="s">
        <v>12</v>
      </c>
      <c r="G39" s="60" t="s">
        <v>12</v>
      </c>
      <c r="H39" s="60" t="s">
        <v>12</v>
      </c>
      <c r="I39" s="59">
        <f t="shared" si="37"/>
        <v>453451.4</v>
      </c>
      <c r="J39" s="56">
        <v>0</v>
      </c>
      <c r="K39" s="56">
        <v>0</v>
      </c>
      <c r="L39" s="56">
        <v>0</v>
      </c>
      <c r="M39" s="56">
        <v>453451.4</v>
      </c>
      <c r="N39" s="56">
        <v>0</v>
      </c>
      <c r="O39" s="56">
        <v>0</v>
      </c>
      <c r="P39" s="56">
        <v>0</v>
      </c>
      <c r="Q39" s="56">
        <v>0</v>
      </c>
      <c r="R39" s="56">
        <v>0</v>
      </c>
      <c r="S39" s="7"/>
      <c r="T39" s="4">
        <v>13667413.57</v>
      </c>
      <c r="U39" s="5">
        <f t="shared" si="27"/>
        <v>-13667413.57</v>
      </c>
      <c r="V39" s="4">
        <v>0</v>
      </c>
      <c r="W39" s="4">
        <v>0</v>
      </c>
      <c r="X39" s="4">
        <v>0</v>
      </c>
      <c r="Y39" s="50">
        <f t="shared" si="29"/>
        <v>0</v>
      </c>
      <c r="Z39" s="5">
        <f t="shared" si="30"/>
        <v>0</v>
      </c>
      <c r="AA39" s="5">
        <f t="shared" si="31"/>
        <v>0</v>
      </c>
      <c r="AE39" s="4">
        <v>0</v>
      </c>
      <c r="AG39" s="5">
        <f t="shared" si="32"/>
        <v>0</v>
      </c>
    </row>
    <row r="40" spans="1:33" s="18" customFormat="1" ht="75" customHeight="1" x14ac:dyDescent="0.25">
      <c r="A40" s="100"/>
      <c r="B40" s="119"/>
      <c r="C40" s="102"/>
      <c r="D40" s="78" t="s">
        <v>30</v>
      </c>
      <c r="E40" s="60" t="s">
        <v>12</v>
      </c>
      <c r="F40" s="60" t="s">
        <v>12</v>
      </c>
      <c r="G40" s="60" t="s">
        <v>12</v>
      </c>
      <c r="H40" s="60" t="s">
        <v>12</v>
      </c>
      <c r="I40" s="59">
        <f t="shared" si="37"/>
        <v>453451400</v>
      </c>
      <c r="J40" s="56">
        <v>0</v>
      </c>
      <c r="K40" s="56">
        <v>0</v>
      </c>
      <c r="L40" s="56">
        <v>0</v>
      </c>
      <c r="M40" s="56">
        <v>453451400</v>
      </c>
      <c r="N40" s="56">
        <v>0</v>
      </c>
      <c r="O40" s="56">
        <v>0</v>
      </c>
      <c r="P40" s="56">
        <v>0</v>
      </c>
      <c r="Q40" s="56">
        <v>0</v>
      </c>
      <c r="R40" s="56">
        <v>0</v>
      </c>
      <c r="S40" s="7"/>
      <c r="T40" s="4">
        <v>0</v>
      </c>
      <c r="U40" s="5">
        <f t="shared" si="27"/>
        <v>0</v>
      </c>
      <c r="V40" s="4">
        <v>0</v>
      </c>
      <c r="W40" s="4">
        <v>0</v>
      </c>
      <c r="X40" s="4">
        <v>0</v>
      </c>
      <c r="Y40" s="50">
        <f t="shared" si="29"/>
        <v>0</v>
      </c>
      <c r="Z40" s="5">
        <f t="shared" si="30"/>
        <v>0</v>
      </c>
      <c r="AA40" s="5">
        <f t="shared" si="31"/>
        <v>0</v>
      </c>
      <c r="AE40" s="4">
        <v>0</v>
      </c>
      <c r="AG40" s="5">
        <f t="shared" si="32"/>
        <v>0</v>
      </c>
    </row>
    <row r="41" spans="1:33" s="6" customFormat="1" ht="90" customHeight="1" x14ac:dyDescent="0.25">
      <c r="A41" s="81">
        <v>16</v>
      </c>
      <c r="B41" s="85" t="s">
        <v>95</v>
      </c>
      <c r="C41" s="78" t="s">
        <v>25</v>
      </c>
      <c r="D41" s="78" t="s">
        <v>8</v>
      </c>
      <c r="E41" s="60" t="s">
        <v>12</v>
      </c>
      <c r="F41" s="60" t="s">
        <v>12</v>
      </c>
      <c r="G41" s="60" t="s">
        <v>12</v>
      </c>
      <c r="H41" s="60" t="s">
        <v>12</v>
      </c>
      <c r="I41" s="59">
        <f t="shared" si="37"/>
        <v>352334557.38</v>
      </c>
      <c r="J41" s="56">
        <v>0</v>
      </c>
      <c r="K41" s="56">
        <v>0</v>
      </c>
      <c r="L41" s="56">
        <v>0</v>
      </c>
      <c r="M41" s="56">
        <v>0</v>
      </c>
      <c r="N41" s="56">
        <v>352334557.38</v>
      </c>
      <c r="O41" s="56">
        <v>0</v>
      </c>
      <c r="P41" s="56">
        <v>0</v>
      </c>
      <c r="Q41" s="56">
        <v>0</v>
      </c>
      <c r="R41" s="56">
        <v>0</v>
      </c>
      <c r="S41" s="5"/>
      <c r="T41" s="4">
        <v>352334557.38</v>
      </c>
      <c r="U41" s="5">
        <f t="shared" si="27"/>
        <v>0</v>
      </c>
      <c r="V41" s="4">
        <v>0</v>
      </c>
      <c r="W41" s="4">
        <v>0</v>
      </c>
      <c r="X41" s="4">
        <v>0</v>
      </c>
      <c r="Y41" s="50">
        <f t="shared" si="29"/>
        <v>0</v>
      </c>
      <c r="Z41" s="5">
        <f t="shared" si="30"/>
        <v>0</v>
      </c>
      <c r="AA41" s="5">
        <f t="shared" si="31"/>
        <v>0</v>
      </c>
      <c r="AE41" s="4">
        <v>352334557.38</v>
      </c>
      <c r="AG41" s="5">
        <f t="shared" si="32"/>
        <v>0</v>
      </c>
    </row>
    <row r="42" spans="1:33" s="6" customFormat="1" ht="59.25" customHeight="1" x14ac:dyDescent="0.25">
      <c r="A42" s="81">
        <v>17</v>
      </c>
      <c r="B42" s="86" t="s">
        <v>109</v>
      </c>
      <c r="C42" s="78" t="s">
        <v>25</v>
      </c>
      <c r="D42" s="78" t="s">
        <v>8</v>
      </c>
      <c r="E42" s="60" t="s">
        <v>12</v>
      </c>
      <c r="F42" s="60" t="s">
        <v>12</v>
      </c>
      <c r="G42" s="60" t="s">
        <v>12</v>
      </c>
      <c r="H42" s="60" t="s">
        <v>12</v>
      </c>
      <c r="I42" s="59">
        <f t="shared" si="37"/>
        <v>28284369</v>
      </c>
      <c r="J42" s="56">
        <v>0</v>
      </c>
      <c r="K42" s="56">
        <v>0</v>
      </c>
      <c r="L42" s="56">
        <v>0</v>
      </c>
      <c r="M42" s="56">
        <v>0</v>
      </c>
      <c r="N42" s="56">
        <v>0</v>
      </c>
      <c r="O42" s="56">
        <v>1193279</v>
      </c>
      <c r="P42" s="56">
        <v>27091090</v>
      </c>
      <c r="Q42" s="56">
        <v>0</v>
      </c>
      <c r="R42" s="56">
        <v>0</v>
      </c>
      <c r="S42" s="5"/>
      <c r="T42" s="4"/>
      <c r="U42" s="5"/>
      <c r="V42" s="45">
        <v>0</v>
      </c>
      <c r="W42" s="4">
        <v>0</v>
      </c>
      <c r="X42" s="4">
        <v>0</v>
      </c>
      <c r="Y42" s="50">
        <f>O42-V42</f>
        <v>1193279</v>
      </c>
      <c r="Z42" s="5"/>
      <c r="AA42" s="5"/>
      <c r="AE42" s="4"/>
      <c r="AG42" s="5"/>
    </row>
    <row r="43" spans="1:33" s="6" customFormat="1" ht="51" customHeight="1" x14ac:dyDescent="0.25">
      <c r="A43" s="81">
        <v>18</v>
      </c>
      <c r="B43" s="64" t="s">
        <v>100</v>
      </c>
      <c r="C43" s="78" t="s">
        <v>25</v>
      </c>
      <c r="D43" s="78" t="s">
        <v>8</v>
      </c>
      <c r="E43" s="60" t="s">
        <v>12</v>
      </c>
      <c r="F43" s="60" t="s">
        <v>12</v>
      </c>
      <c r="G43" s="60" t="s">
        <v>12</v>
      </c>
      <c r="H43" s="60" t="s">
        <v>12</v>
      </c>
      <c r="I43" s="59">
        <f t="shared" si="37"/>
        <v>2192287</v>
      </c>
      <c r="J43" s="56">
        <f t="shared" ref="J43:R43" si="54">J44</f>
        <v>0</v>
      </c>
      <c r="K43" s="56">
        <f t="shared" si="54"/>
        <v>0</v>
      </c>
      <c r="L43" s="56">
        <f t="shared" si="54"/>
        <v>0</v>
      </c>
      <c r="M43" s="56">
        <f t="shared" si="54"/>
        <v>0</v>
      </c>
      <c r="N43" s="56">
        <f t="shared" si="54"/>
        <v>2192287</v>
      </c>
      <c r="O43" s="56">
        <f t="shared" si="54"/>
        <v>0</v>
      </c>
      <c r="P43" s="56">
        <f t="shared" si="54"/>
        <v>0</v>
      </c>
      <c r="Q43" s="56">
        <f t="shared" si="54"/>
        <v>0</v>
      </c>
      <c r="R43" s="56">
        <f t="shared" si="54"/>
        <v>0</v>
      </c>
      <c r="S43" s="5"/>
      <c r="T43" s="4">
        <f>T44</f>
        <v>2192287</v>
      </c>
      <c r="U43" s="5">
        <f>N43-T43</f>
        <v>0</v>
      </c>
      <c r="V43" s="4">
        <f t="shared" ref="V43:X43" si="55">V44</f>
        <v>0</v>
      </c>
      <c r="W43" s="4">
        <f t="shared" si="55"/>
        <v>0</v>
      </c>
      <c r="X43" s="4">
        <f t="shared" si="55"/>
        <v>0</v>
      </c>
      <c r="Y43" s="50">
        <f>O43-V43</f>
        <v>0</v>
      </c>
      <c r="Z43" s="5">
        <f>P43-W43</f>
        <v>0</v>
      </c>
      <c r="AA43" s="5">
        <f>R43-X43</f>
        <v>0</v>
      </c>
      <c r="AE43" s="4">
        <f t="shared" ref="AE43" si="56">AE44</f>
        <v>2192287</v>
      </c>
      <c r="AG43" s="5">
        <f>N43-AE43</f>
        <v>0</v>
      </c>
    </row>
    <row r="44" spans="1:33" s="6" customFormat="1" ht="111" customHeight="1" x14ac:dyDescent="0.25">
      <c r="A44" s="81">
        <v>19</v>
      </c>
      <c r="B44" s="64" t="s">
        <v>101</v>
      </c>
      <c r="C44" s="78" t="s">
        <v>25</v>
      </c>
      <c r="D44" s="78" t="s">
        <v>8</v>
      </c>
      <c r="E44" s="60" t="s">
        <v>12</v>
      </c>
      <c r="F44" s="60" t="s">
        <v>12</v>
      </c>
      <c r="G44" s="60" t="s">
        <v>12</v>
      </c>
      <c r="H44" s="60" t="s">
        <v>12</v>
      </c>
      <c r="I44" s="59">
        <f t="shared" si="37"/>
        <v>2192287</v>
      </c>
      <c r="J44" s="56">
        <v>0</v>
      </c>
      <c r="K44" s="56">
        <v>0</v>
      </c>
      <c r="L44" s="56">
        <v>0</v>
      </c>
      <c r="M44" s="56">
        <v>0</v>
      </c>
      <c r="N44" s="56">
        <v>2192287</v>
      </c>
      <c r="O44" s="56">
        <v>0</v>
      </c>
      <c r="P44" s="56">
        <v>0</v>
      </c>
      <c r="Q44" s="56">
        <v>0</v>
      </c>
      <c r="R44" s="56">
        <v>0</v>
      </c>
      <c r="S44" s="5"/>
      <c r="T44" s="4">
        <v>2192287</v>
      </c>
      <c r="U44" s="5">
        <f>N44-T44</f>
        <v>0</v>
      </c>
      <c r="V44" s="4">
        <v>0</v>
      </c>
      <c r="W44" s="4">
        <v>0</v>
      </c>
      <c r="X44" s="4">
        <v>0</v>
      </c>
      <c r="Y44" s="50">
        <f>O44-V44</f>
        <v>0</v>
      </c>
      <c r="Z44" s="5">
        <f>P44-W44</f>
        <v>0</v>
      </c>
      <c r="AA44" s="5">
        <f>R44-X44</f>
        <v>0</v>
      </c>
      <c r="AE44" s="4">
        <v>2192287</v>
      </c>
      <c r="AG44" s="5">
        <f>N44-AE44</f>
        <v>0</v>
      </c>
    </row>
    <row r="45" spans="1:33" s="6" customFormat="1" hidden="1" x14ac:dyDescent="0.25">
      <c r="A45" s="81"/>
      <c r="B45" s="87"/>
      <c r="C45" s="78"/>
      <c r="D45" s="78"/>
      <c r="E45" s="60"/>
      <c r="F45" s="60"/>
      <c r="G45" s="60"/>
      <c r="H45" s="60"/>
      <c r="I45" s="59"/>
      <c r="J45" s="56"/>
      <c r="K45" s="56"/>
      <c r="L45" s="56"/>
      <c r="M45" s="56"/>
      <c r="N45" s="56"/>
      <c r="O45" s="56"/>
      <c r="P45" s="56"/>
      <c r="Q45" s="56"/>
      <c r="R45" s="56"/>
      <c r="S45" s="5"/>
      <c r="T45" s="40"/>
      <c r="U45" s="5"/>
      <c r="V45" s="4"/>
      <c r="W45" s="4"/>
      <c r="X45" s="4"/>
      <c r="Y45" s="50"/>
      <c r="Z45" s="5"/>
      <c r="AA45" s="5"/>
      <c r="AE45" s="40"/>
      <c r="AG45" s="5"/>
    </row>
    <row r="46" spans="1:33" s="6" customFormat="1" hidden="1" x14ac:dyDescent="0.25">
      <c r="A46" s="81"/>
      <c r="B46" s="87"/>
      <c r="C46" s="78"/>
      <c r="D46" s="78"/>
      <c r="E46" s="60"/>
      <c r="F46" s="60"/>
      <c r="G46" s="60"/>
      <c r="H46" s="60"/>
      <c r="I46" s="59"/>
      <c r="J46" s="56"/>
      <c r="K46" s="56"/>
      <c r="L46" s="56"/>
      <c r="M46" s="56"/>
      <c r="N46" s="56"/>
      <c r="O46" s="56"/>
      <c r="P46" s="56"/>
      <c r="Q46" s="56"/>
      <c r="R46" s="56"/>
      <c r="S46" s="5"/>
      <c r="T46" s="40"/>
      <c r="U46" s="5"/>
      <c r="V46" s="4"/>
      <c r="W46" s="4"/>
      <c r="X46" s="4"/>
      <c r="Y46" s="50"/>
      <c r="Z46" s="5"/>
      <c r="AA46" s="5"/>
      <c r="AE46" s="40"/>
      <c r="AG46" s="5"/>
    </row>
    <row r="47" spans="1:33" s="6" customFormat="1" ht="30" customHeight="1" x14ac:dyDescent="0.25">
      <c r="A47" s="110" t="s">
        <v>105</v>
      </c>
      <c r="B47" s="111"/>
      <c r="C47" s="111"/>
      <c r="D47" s="111"/>
      <c r="E47" s="111"/>
      <c r="F47" s="111"/>
      <c r="G47" s="111"/>
      <c r="H47" s="111"/>
      <c r="I47" s="111"/>
      <c r="J47" s="111"/>
      <c r="K47" s="111"/>
      <c r="L47" s="111"/>
      <c r="M47" s="111"/>
      <c r="N47" s="111"/>
      <c r="O47" s="111"/>
      <c r="P47" s="111"/>
      <c r="Q47" s="111"/>
      <c r="R47" s="112"/>
      <c r="S47" s="5"/>
      <c r="U47" s="5">
        <f t="shared" ref="U47:U67" si="57">N47-T47</f>
        <v>0</v>
      </c>
      <c r="V47" s="4">
        <v>0</v>
      </c>
      <c r="W47" s="4">
        <v>0</v>
      </c>
      <c r="X47" s="4">
        <v>0</v>
      </c>
      <c r="Y47" s="50">
        <f t="shared" ref="Y47:Y64" si="58">O47-V47</f>
        <v>0</v>
      </c>
      <c r="Z47" s="5">
        <f t="shared" ref="Z47:Z63" si="59">P47-W47</f>
        <v>0</v>
      </c>
      <c r="AA47" s="5">
        <f t="shared" ref="AA47:AA63" si="60">R47-X47</f>
        <v>0</v>
      </c>
      <c r="AG47" s="5">
        <f t="shared" ref="AG47:AG78" si="61">N47-AE47</f>
        <v>0</v>
      </c>
    </row>
    <row r="48" spans="1:33" s="6" customFormat="1" ht="17.25" hidden="1" customHeight="1" x14ac:dyDescent="0.25">
      <c r="A48" s="88"/>
      <c r="B48" s="89"/>
      <c r="C48" s="90"/>
      <c r="D48" s="90"/>
      <c r="E48" s="90"/>
      <c r="F48" s="90"/>
      <c r="G48" s="90"/>
      <c r="H48" s="90"/>
      <c r="I48" s="90"/>
      <c r="J48" s="90"/>
      <c r="K48" s="90"/>
      <c r="L48" s="91"/>
      <c r="M48" s="60"/>
      <c r="N48" s="61"/>
      <c r="O48" s="56"/>
      <c r="P48" s="56"/>
      <c r="Q48" s="56"/>
      <c r="R48" s="56"/>
      <c r="S48" s="5"/>
      <c r="T48" s="7"/>
      <c r="U48" s="5">
        <f t="shared" si="57"/>
        <v>0</v>
      </c>
      <c r="Y48" s="50">
        <f t="shared" si="58"/>
        <v>0</v>
      </c>
      <c r="Z48" s="5">
        <f t="shared" si="59"/>
        <v>0</v>
      </c>
      <c r="AA48" s="5">
        <f t="shared" si="60"/>
        <v>0</v>
      </c>
      <c r="AE48" s="7"/>
      <c r="AG48" s="5">
        <f t="shared" si="61"/>
        <v>0</v>
      </c>
    </row>
    <row r="49" spans="1:36" s="6" customFormat="1" ht="15" hidden="1" customHeight="1" x14ac:dyDescent="0.25">
      <c r="A49" s="92"/>
      <c r="B49" s="93"/>
      <c r="C49" s="94"/>
      <c r="D49" s="94"/>
      <c r="E49" s="94"/>
      <c r="F49" s="94"/>
      <c r="G49" s="94"/>
      <c r="H49" s="94"/>
      <c r="I49" s="94"/>
      <c r="J49" s="94"/>
      <c r="K49" s="94"/>
      <c r="L49" s="95"/>
      <c r="M49" s="60"/>
      <c r="N49" s="61"/>
      <c r="O49" s="56"/>
      <c r="P49" s="56"/>
      <c r="Q49" s="56"/>
      <c r="R49" s="56"/>
      <c r="S49" s="5"/>
      <c r="T49" s="7"/>
      <c r="U49" s="5">
        <f t="shared" si="57"/>
        <v>0</v>
      </c>
      <c r="Y49" s="50">
        <f t="shared" si="58"/>
        <v>0</v>
      </c>
      <c r="Z49" s="5">
        <f t="shared" si="59"/>
        <v>0</v>
      </c>
      <c r="AA49" s="5">
        <f t="shared" si="60"/>
        <v>0</v>
      </c>
      <c r="AE49" s="7"/>
      <c r="AG49" s="5">
        <f t="shared" si="61"/>
        <v>0</v>
      </c>
    </row>
    <row r="50" spans="1:36" s="6" customFormat="1" ht="61.5" customHeight="1" x14ac:dyDescent="0.25">
      <c r="A50" s="98">
        <v>20</v>
      </c>
      <c r="B50" s="108" t="s">
        <v>57</v>
      </c>
      <c r="C50" s="97" t="s">
        <v>125</v>
      </c>
      <c r="D50" s="78" t="s">
        <v>8</v>
      </c>
      <c r="E50" s="78" t="s">
        <v>12</v>
      </c>
      <c r="F50" s="78" t="s">
        <v>12</v>
      </c>
      <c r="G50" s="78" t="s">
        <v>12</v>
      </c>
      <c r="H50" s="78" t="s">
        <v>12</v>
      </c>
      <c r="I50" s="59">
        <f t="shared" ref="I50:I56" si="62">SUM(J50:R50)</f>
        <v>4028556726.0500002</v>
      </c>
      <c r="J50" s="59">
        <f t="shared" ref="J50:R50" si="63">J53+J100</f>
        <v>372889129.33999997</v>
      </c>
      <c r="K50" s="59">
        <f t="shared" si="63"/>
        <v>424396537.21000004</v>
      </c>
      <c r="L50" s="59">
        <f t="shared" si="63"/>
        <v>452889558.25</v>
      </c>
      <c r="M50" s="56">
        <f t="shared" si="63"/>
        <v>512472449.95000005</v>
      </c>
      <c r="N50" s="56">
        <f t="shared" si="63"/>
        <v>489229392.56000006</v>
      </c>
      <c r="O50" s="56">
        <f t="shared" si="63"/>
        <v>504396594.04000002</v>
      </c>
      <c r="P50" s="56">
        <f t="shared" si="63"/>
        <v>424094354.90000004</v>
      </c>
      <c r="Q50" s="56">
        <f t="shared" ref="Q50" si="64">Q53+Q100</f>
        <v>424094354.90000004</v>
      </c>
      <c r="R50" s="56">
        <f t="shared" si="63"/>
        <v>424094354.90000004</v>
      </c>
      <c r="S50" s="5">
        <f>SUM(N50:N52)</f>
        <v>528343340.45000005</v>
      </c>
      <c r="T50" s="4">
        <f>T53+T100</f>
        <v>484989386.23000002</v>
      </c>
      <c r="U50" s="5">
        <f t="shared" si="57"/>
        <v>4240006.3300000429</v>
      </c>
      <c r="V50" s="4">
        <f t="shared" ref="V50:X50" si="65">V53+V100</f>
        <v>448386444.84000003</v>
      </c>
      <c r="W50" s="4">
        <f t="shared" si="65"/>
        <v>507522705.04000002</v>
      </c>
      <c r="X50" s="4">
        <f t="shared" si="65"/>
        <v>507924705.04000002</v>
      </c>
      <c r="Y50" s="50">
        <f t="shared" si="58"/>
        <v>56010149.199999988</v>
      </c>
      <c r="Z50" s="5">
        <f t="shared" si="59"/>
        <v>-83428350.139999986</v>
      </c>
      <c r="AA50" s="5">
        <f t="shared" si="60"/>
        <v>-83830350.139999986</v>
      </c>
      <c r="AE50" s="4">
        <f t="shared" ref="AE50" si="66">AE53+AE100</f>
        <v>489229392.56000006</v>
      </c>
      <c r="AG50" s="5">
        <f t="shared" si="61"/>
        <v>0</v>
      </c>
    </row>
    <row r="51" spans="1:36" s="6" customFormat="1" ht="61.5" customHeight="1" x14ac:dyDescent="0.25">
      <c r="A51" s="99"/>
      <c r="B51" s="116"/>
      <c r="C51" s="97"/>
      <c r="D51" s="78" t="s">
        <v>30</v>
      </c>
      <c r="E51" s="78" t="s">
        <v>12</v>
      </c>
      <c r="F51" s="78" t="s">
        <v>12</v>
      </c>
      <c r="G51" s="78" t="s">
        <v>12</v>
      </c>
      <c r="H51" s="78" t="s">
        <v>12</v>
      </c>
      <c r="I51" s="59">
        <f t="shared" si="62"/>
        <v>239834619.37</v>
      </c>
      <c r="J51" s="59">
        <f t="shared" ref="J51:R51" si="67">J78</f>
        <v>6205500</v>
      </c>
      <c r="K51" s="59">
        <f t="shared" si="67"/>
        <v>5646328</v>
      </c>
      <c r="L51" s="59">
        <f t="shared" si="67"/>
        <v>8111483.2999999998</v>
      </c>
      <c r="M51" s="56">
        <f>M78+M82</f>
        <v>41350284</v>
      </c>
      <c r="N51" s="56">
        <f>N54</f>
        <v>38620065.890000001</v>
      </c>
      <c r="O51" s="56">
        <f>O54</f>
        <v>41178378.030000001</v>
      </c>
      <c r="P51" s="56">
        <f>P54</f>
        <v>40868180.149999999</v>
      </c>
      <c r="Q51" s="56">
        <f t="shared" ref="Q51" si="68">Q78</f>
        <v>28927200</v>
      </c>
      <c r="R51" s="56">
        <f t="shared" si="67"/>
        <v>28927200</v>
      </c>
      <c r="S51" s="5">
        <f>N40+S50+N29+N17+N18+N23</f>
        <v>563929510.42000008</v>
      </c>
      <c r="T51" s="4">
        <f>T54</f>
        <v>38620065.890000001</v>
      </c>
      <c r="U51" s="5">
        <f t="shared" si="57"/>
        <v>0</v>
      </c>
      <c r="V51" s="4">
        <f>V54</f>
        <v>33282199.030000001</v>
      </c>
      <c r="W51" s="4">
        <f>W54</f>
        <v>32551958.460000001</v>
      </c>
      <c r="X51" s="4">
        <f t="shared" ref="X51" si="69">X78</f>
        <v>27238205.02</v>
      </c>
      <c r="Y51" s="50">
        <f t="shared" si="58"/>
        <v>7896179</v>
      </c>
      <c r="Z51" s="5">
        <f t="shared" si="59"/>
        <v>8316221.6899999976</v>
      </c>
      <c r="AA51" s="5">
        <f t="shared" si="60"/>
        <v>1688994.9800000004</v>
      </c>
      <c r="AE51" s="4">
        <f>AE54</f>
        <v>38620065.890000001</v>
      </c>
      <c r="AG51" s="5">
        <f t="shared" si="61"/>
        <v>0</v>
      </c>
    </row>
    <row r="52" spans="1:36" s="6" customFormat="1" ht="87.75" customHeight="1" x14ac:dyDescent="0.25">
      <c r="A52" s="100"/>
      <c r="B52" s="109"/>
      <c r="C52" s="97"/>
      <c r="D52" s="78" t="s">
        <v>37</v>
      </c>
      <c r="E52" s="78" t="s">
        <v>12</v>
      </c>
      <c r="F52" s="78" t="s">
        <v>12</v>
      </c>
      <c r="G52" s="78" t="s">
        <v>12</v>
      </c>
      <c r="H52" s="78" t="s">
        <v>12</v>
      </c>
      <c r="I52" s="59">
        <f t="shared" si="62"/>
        <v>493882</v>
      </c>
      <c r="J52" s="59">
        <v>0</v>
      </c>
      <c r="K52" s="59">
        <v>0</v>
      </c>
      <c r="L52" s="59">
        <v>0</v>
      </c>
      <c r="M52" s="56">
        <v>0</v>
      </c>
      <c r="N52" s="56">
        <f>N67</f>
        <v>493882</v>
      </c>
      <c r="O52" s="56">
        <f>O67</f>
        <v>0</v>
      </c>
      <c r="P52" s="56">
        <f>P67</f>
        <v>0</v>
      </c>
      <c r="Q52" s="56">
        <f>Q67</f>
        <v>0</v>
      </c>
      <c r="R52" s="56">
        <f>R67</f>
        <v>0</v>
      </c>
      <c r="S52" s="5">
        <f>S12-S51</f>
        <v>-563929510.42000008</v>
      </c>
      <c r="T52" s="4">
        <f>T67</f>
        <v>493882</v>
      </c>
      <c r="U52" s="5">
        <f t="shared" si="57"/>
        <v>0</v>
      </c>
      <c r="V52" s="4">
        <f>V67</f>
        <v>0</v>
      </c>
      <c r="W52" s="4">
        <f>W67</f>
        <v>0</v>
      </c>
      <c r="X52" s="4">
        <f>X67</f>
        <v>0</v>
      </c>
      <c r="Y52" s="50">
        <f t="shared" si="58"/>
        <v>0</v>
      </c>
      <c r="Z52" s="5">
        <f t="shared" si="59"/>
        <v>0</v>
      </c>
      <c r="AA52" s="5">
        <f t="shared" si="60"/>
        <v>0</v>
      </c>
      <c r="AE52" s="4">
        <f>AE67</f>
        <v>493882</v>
      </c>
      <c r="AG52" s="5">
        <f t="shared" si="61"/>
        <v>0</v>
      </c>
    </row>
    <row r="53" spans="1:36" s="6" customFormat="1" ht="57.75" customHeight="1" x14ac:dyDescent="0.25">
      <c r="A53" s="98">
        <v>21</v>
      </c>
      <c r="B53" s="108" t="s">
        <v>58</v>
      </c>
      <c r="C53" s="97" t="s">
        <v>125</v>
      </c>
      <c r="D53" s="78" t="s">
        <v>8</v>
      </c>
      <c r="E53" s="78" t="s">
        <v>12</v>
      </c>
      <c r="F53" s="78" t="s">
        <v>12</v>
      </c>
      <c r="G53" s="78" t="s">
        <v>12</v>
      </c>
      <c r="H53" s="78" t="s">
        <v>12</v>
      </c>
      <c r="I53" s="59">
        <f t="shared" si="62"/>
        <v>4020126293.9300003</v>
      </c>
      <c r="J53" s="59">
        <f>J56+J57+J63+J64+J65+J83+J84</f>
        <v>372383529.33999997</v>
      </c>
      <c r="K53" s="59">
        <f>K56+K57+K63+K64+K65+K83+K84+K85+K86+K87+K88</f>
        <v>423682368.21000004</v>
      </c>
      <c r="L53" s="59">
        <f>L56+L57+L63+L64+L65+L83+L84+L85+L86+L89+L95+L94</f>
        <v>452291630.50999999</v>
      </c>
      <c r="M53" s="59">
        <f>M56+M57+M63+M64+M65+M83+M84+M85+M86+M89+M95</f>
        <v>511599919.39000005</v>
      </c>
      <c r="N53" s="59">
        <f>N56+N57+N63+N64+N83+N84+N85+N86+N89+N95+N65</f>
        <v>488252244.59000003</v>
      </c>
      <c r="O53" s="59">
        <f>O56+O57+O63+O64+O83+O84+O85+O86+O89+O95+O65</f>
        <v>503164936.19</v>
      </c>
      <c r="P53" s="59">
        <f>P56+P57+P63+P64+P83+P84+P85+P86+P89+P95+P65</f>
        <v>422917221.90000004</v>
      </c>
      <c r="Q53" s="59">
        <f>Q56+Q57+Q63+Q64+Q83+Q84+Q85+Q86+Q89+Q95+Q65</f>
        <v>422917221.90000004</v>
      </c>
      <c r="R53" s="59">
        <f>R56+R57+R63+R64+R83+R84+R85+R86+R89+R95+R65</f>
        <v>422917221.90000004</v>
      </c>
      <c r="S53" s="5">
        <f>N53+N54+N55+N100</f>
        <v>528343340.45000005</v>
      </c>
      <c r="T53" s="1">
        <f>T56+T57+T63+T64+T83+T84+T85+T86+T89+T95+T65</f>
        <v>483812253.23000002</v>
      </c>
      <c r="U53" s="5">
        <f t="shared" si="57"/>
        <v>4439991.3600000143</v>
      </c>
      <c r="V53" s="1">
        <f>V56+V57+V63+V64+V83+V84+V85+V86+V89+V95+V65</f>
        <v>447209311.84000003</v>
      </c>
      <c r="W53" s="1">
        <f>W56+W57+W63+W64+W83+W84+W85+W86+W89+W95+W65</f>
        <v>506345572.04000002</v>
      </c>
      <c r="X53" s="1">
        <f>X56+X57+X63+X64+X83+X84+X85+X86+X89+X95+X65</f>
        <v>506747572.04000002</v>
      </c>
      <c r="Y53" s="50">
        <f t="shared" si="58"/>
        <v>55955624.349999964</v>
      </c>
      <c r="Z53" s="5">
        <f t="shared" si="59"/>
        <v>-83428350.139999986</v>
      </c>
      <c r="AA53" s="5">
        <f t="shared" si="60"/>
        <v>-83830350.139999986</v>
      </c>
      <c r="AE53" s="1">
        <f>AE56+AE57+AE63+AE64+AE83+AE84+AE85+AE86+AE89+AE95+AE65</f>
        <v>488252244.59000003</v>
      </c>
      <c r="AG53" s="5">
        <f t="shared" si="61"/>
        <v>0</v>
      </c>
    </row>
    <row r="54" spans="1:36" s="6" customFormat="1" ht="57.75" customHeight="1" x14ac:dyDescent="0.25">
      <c r="A54" s="99"/>
      <c r="B54" s="116"/>
      <c r="C54" s="97"/>
      <c r="D54" s="78" t="s">
        <v>30</v>
      </c>
      <c r="E54" s="78" t="s">
        <v>12</v>
      </c>
      <c r="F54" s="78" t="s">
        <v>12</v>
      </c>
      <c r="G54" s="78" t="s">
        <v>12</v>
      </c>
      <c r="H54" s="78" t="s">
        <v>12</v>
      </c>
      <c r="I54" s="59">
        <f t="shared" si="62"/>
        <v>239834619.37</v>
      </c>
      <c r="J54" s="59">
        <f>J78</f>
        <v>6205500</v>
      </c>
      <c r="K54" s="59">
        <f>K78</f>
        <v>5646328</v>
      </c>
      <c r="L54" s="59">
        <f>L78</f>
        <v>8111483.2999999998</v>
      </c>
      <c r="M54" s="56">
        <f>M78+M82</f>
        <v>41350284</v>
      </c>
      <c r="N54" s="56">
        <f>N74+N78</f>
        <v>38620065.890000001</v>
      </c>
      <c r="O54" s="56">
        <f>O78</f>
        <v>41178378.030000001</v>
      </c>
      <c r="P54" s="56">
        <f>P78</f>
        <v>40868180.149999999</v>
      </c>
      <c r="Q54" s="56">
        <f>Q78</f>
        <v>28927200</v>
      </c>
      <c r="R54" s="56">
        <f>R78</f>
        <v>28927200</v>
      </c>
      <c r="S54" s="5"/>
      <c r="T54" s="4">
        <f>T74+T78</f>
        <v>38620065.890000001</v>
      </c>
      <c r="U54" s="5">
        <f t="shared" si="57"/>
        <v>0</v>
      </c>
      <c r="V54" s="4">
        <f>V78</f>
        <v>33282199.030000001</v>
      </c>
      <c r="W54" s="4">
        <f>W78</f>
        <v>32551958.460000001</v>
      </c>
      <c r="X54" s="4">
        <f>X78</f>
        <v>27238205.02</v>
      </c>
      <c r="Y54" s="50">
        <f t="shared" si="58"/>
        <v>7896179</v>
      </c>
      <c r="Z54" s="5">
        <f t="shared" si="59"/>
        <v>8316221.6899999976</v>
      </c>
      <c r="AA54" s="5">
        <f t="shared" si="60"/>
        <v>1688994.9800000004</v>
      </c>
      <c r="AE54" s="4">
        <f>AE74+AE78</f>
        <v>38620065.890000001</v>
      </c>
      <c r="AG54" s="5">
        <f t="shared" si="61"/>
        <v>0</v>
      </c>
    </row>
    <row r="55" spans="1:36" s="6" customFormat="1" ht="91.5" customHeight="1" x14ac:dyDescent="0.25">
      <c r="A55" s="100"/>
      <c r="B55" s="109"/>
      <c r="C55" s="97"/>
      <c r="D55" s="78" t="s">
        <v>37</v>
      </c>
      <c r="E55" s="78" t="s">
        <v>12</v>
      </c>
      <c r="F55" s="78" t="s">
        <v>12</v>
      </c>
      <c r="G55" s="78" t="s">
        <v>12</v>
      </c>
      <c r="H55" s="78" t="s">
        <v>12</v>
      </c>
      <c r="I55" s="59">
        <f t="shared" si="62"/>
        <v>493882</v>
      </c>
      <c r="J55" s="56">
        <v>0</v>
      </c>
      <c r="K55" s="56">
        <v>0</v>
      </c>
      <c r="L55" s="56">
        <v>0</v>
      </c>
      <c r="M55" s="56">
        <v>0</v>
      </c>
      <c r="N55" s="56">
        <f>N67</f>
        <v>493882</v>
      </c>
      <c r="O55" s="56">
        <f>O67</f>
        <v>0</v>
      </c>
      <c r="P55" s="56">
        <f>P67</f>
        <v>0</v>
      </c>
      <c r="Q55" s="56">
        <f>Q67</f>
        <v>0</v>
      </c>
      <c r="R55" s="56">
        <f>R67</f>
        <v>0</v>
      </c>
      <c r="S55" s="5"/>
      <c r="T55" s="4">
        <f>T67</f>
        <v>493882</v>
      </c>
      <c r="U55" s="5">
        <f t="shared" si="57"/>
        <v>0</v>
      </c>
      <c r="V55" s="4">
        <f>V67</f>
        <v>0</v>
      </c>
      <c r="W55" s="4">
        <f>W67</f>
        <v>0</v>
      </c>
      <c r="X55" s="4">
        <f>X67</f>
        <v>0</v>
      </c>
      <c r="Y55" s="50">
        <f t="shared" si="58"/>
        <v>0</v>
      </c>
      <c r="Z55" s="5">
        <f t="shared" si="59"/>
        <v>0</v>
      </c>
      <c r="AA55" s="5">
        <f t="shared" si="60"/>
        <v>0</v>
      </c>
      <c r="AE55" s="4">
        <f>AE67</f>
        <v>493882</v>
      </c>
      <c r="AG55" s="5">
        <f t="shared" si="61"/>
        <v>0</v>
      </c>
    </row>
    <row r="56" spans="1:36" s="6" customFormat="1" ht="63" customHeight="1" x14ac:dyDescent="0.25">
      <c r="A56" s="81">
        <v>22</v>
      </c>
      <c r="B56" s="78" t="s">
        <v>59</v>
      </c>
      <c r="C56" s="78" t="s">
        <v>25</v>
      </c>
      <c r="D56" s="78" t="s">
        <v>8</v>
      </c>
      <c r="E56" s="78" t="s">
        <v>12</v>
      </c>
      <c r="F56" s="78" t="s">
        <v>12</v>
      </c>
      <c r="G56" s="78" t="s">
        <v>12</v>
      </c>
      <c r="H56" s="78" t="s">
        <v>12</v>
      </c>
      <c r="I56" s="59">
        <f t="shared" si="62"/>
        <v>15641094.16</v>
      </c>
      <c r="J56" s="59">
        <f>5116734.6-597090.8</f>
        <v>4519643.8</v>
      </c>
      <c r="K56" s="59">
        <f>1558210-750000-57020</f>
        <v>751190</v>
      </c>
      <c r="L56" s="59">
        <v>1169630</v>
      </c>
      <c r="M56" s="56">
        <f>1200000-315702</f>
        <v>884298</v>
      </c>
      <c r="N56" s="56">
        <v>2352333.36</v>
      </c>
      <c r="O56" s="56">
        <v>2363999</v>
      </c>
      <c r="P56" s="56">
        <v>1200000</v>
      </c>
      <c r="Q56" s="56">
        <v>1200000</v>
      </c>
      <c r="R56" s="56">
        <v>1200000</v>
      </c>
      <c r="S56" s="5"/>
      <c r="T56" s="4">
        <v>2400000</v>
      </c>
      <c r="U56" s="5">
        <f t="shared" si="57"/>
        <v>-47666.64000000013</v>
      </c>
      <c r="V56" s="46">
        <v>1200000</v>
      </c>
      <c r="W56" s="4">
        <v>1200000</v>
      </c>
      <c r="X56" s="4">
        <v>1200000</v>
      </c>
      <c r="Y56" s="50">
        <f t="shared" si="58"/>
        <v>1163999</v>
      </c>
      <c r="Z56" s="5">
        <f t="shared" si="59"/>
        <v>0</v>
      </c>
      <c r="AA56" s="5">
        <f t="shared" si="60"/>
        <v>0</v>
      </c>
      <c r="AE56" s="4">
        <v>2352333.36</v>
      </c>
      <c r="AG56" s="5">
        <f t="shared" si="61"/>
        <v>0</v>
      </c>
    </row>
    <row r="57" spans="1:36" s="6" customFormat="1" ht="47.25" customHeight="1" x14ac:dyDescent="0.25">
      <c r="A57" s="106">
        <v>23</v>
      </c>
      <c r="B57" s="97" t="s">
        <v>60</v>
      </c>
      <c r="C57" s="78" t="s">
        <v>26</v>
      </c>
      <c r="D57" s="78" t="s">
        <v>8</v>
      </c>
      <c r="E57" s="78" t="s">
        <v>12</v>
      </c>
      <c r="F57" s="78" t="s">
        <v>12</v>
      </c>
      <c r="G57" s="78" t="s">
        <v>12</v>
      </c>
      <c r="H57" s="78" t="s">
        <v>12</v>
      </c>
      <c r="I57" s="59">
        <f>SUM(J57:R57)</f>
        <v>65237219.280000001</v>
      </c>
      <c r="J57" s="59">
        <f t="shared" ref="J57:R57" si="70">J59+J60+J61+J62</f>
        <v>8372406.8499999996</v>
      </c>
      <c r="K57" s="59">
        <f t="shared" si="70"/>
        <v>7098243.0200000005</v>
      </c>
      <c r="L57" s="59">
        <f t="shared" si="70"/>
        <v>6017626.6799999997</v>
      </c>
      <c r="M57" s="56">
        <f t="shared" si="70"/>
        <v>5670804.4100000001</v>
      </c>
      <c r="N57" s="56">
        <f>N59+N60+N61+N62</f>
        <v>6297393.8399999999</v>
      </c>
      <c r="O57" s="56">
        <f t="shared" si="70"/>
        <v>9780490.4800000004</v>
      </c>
      <c r="P57" s="56">
        <f t="shared" si="70"/>
        <v>7333418</v>
      </c>
      <c r="Q57" s="56">
        <f t="shared" ref="Q57" si="71">Q59+Q60+Q61+Q62</f>
        <v>7333418</v>
      </c>
      <c r="R57" s="56">
        <f t="shared" si="70"/>
        <v>7333418</v>
      </c>
      <c r="S57" s="5"/>
      <c r="T57" s="4">
        <f>T59+T60+T61+T62</f>
        <v>7121057</v>
      </c>
      <c r="U57" s="5">
        <f t="shared" si="57"/>
        <v>-823663.16000000015</v>
      </c>
      <c r="V57" s="41">
        <f t="shared" ref="V57:X57" si="72">V59+V60+V61+V62</f>
        <v>8000712</v>
      </c>
      <c r="W57" s="4">
        <f t="shared" si="72"/>
        <v>7992712</v>
      </c>
      <c r="X57" s="4">
        <f t="shared" si="72"/>
        <v>8394712</v>
      </c>
      <c r="Y57" s="50">
        <f t="shared" si="58"/>
        <v>1779778.4800000004</v>
      </c>
      <c r="Z57" s="5">
        <f t="shared" si="59"/>
        <v>-659294</v>
      </c>
      <c r="AA57" s="5">
        <f t="shared" si="60"/>
        <v>-1061294</v>
      </c>
      <c r="AE57" s="4">
        <f>AE59+AE60+AE61+AE62</f>
        <v>6297393.8399999999</v>
      </c>
      <c r="AG57" s="5">
        <f t="shared" si="61"/>
        <v>0</v>
      </c>
    </row>
    <row r="58" spans="1:36" s="6" customFormat="1" ht="20.25" customHeight="1" x14ac:dyDescent="0.25">
      <c r="A58" s="106"/>
      <c r="B58" s="97"/>
      <c r="C58" s="78" t="s">
        <v>24</v>
      </c>
      <c r="D58" s="103"/>
      <c r="E58" s="104"/>
      <c r="F58" s="104"/>
      <c r="G58" s="104"/>
      <c r="H58" s="104"/>
      <c r="I58" s="104"/>
      <c r="J58" s="104"/>
      <c r="K58" s="104"/>
      <c r="L58" s="105"/>
      <c r="M58" s="60"/>
      <c r="N58" s="61"/>
      <c r="O58" s="56"/>
      <c r="P58" s="56"/>
      <c r="Q58" s="56"/>
      <c r="R58" s="56"/>
      <c r="S58" s="5"/>
      <c r="T58" s="7"/>
      <c r="U58" s="5">
        <f t="shared" si="57"/>
        <v>0</v>
      </c>
      <c r="V58" s="41"/>
      <c r="W58" s="4"/>
      <c r="X58" s="4"/>
      <c r="Y58" s="50">
        <f t="shared" si="58"/>
        <v>0</v>
      </c>
      <c r="Z58" s="5">
        <f t="shared" si="59"/>
        <v>0</v>
      </c>
      <c r="AA58" s="5">
        <f t="shared" si="60"/>
        <v>0</v>
      </c>
      <c r="AE58" s="7"/>
      <c r="AG58" s="5">
        <f t="shared" si="61"/>
        <v>0</v>
      </c>
    </row>
    <row r="59" spans="1:36" s="6" customFormat="1" ht="39.75" customHeight="1" x14ac:dyDescent="0.25">
      <c r="A59" s="106"/>
      <c r="B59" s="97"/>
      <c r="C59" s="78" t="s">
        <v>17</v>
      </c>
      <c r="D59" s="78" t="s">
        <v>8</v>
      </c>
      <c r="E59" s="78" t="s">
        <v>12</v>
      </c>
      <c r="F59" s="78" t="s">
        <v>12</v>
      </c>
      <c r="G59" s="78" t="s">
        <v>12</v>
      </c>
      <c r="H59" s="78" t="s">
        <v>12</v>
      </c>
      <c r="I59" s="59">
        <f t="shared" ref="I59:I67" si="73">SUM(J59:R59)</f>
        <v>13549291.52</v>
      </c>
      <c r="J59" s="59">
        <v>1924953.91</v>
      </c>
      <c r="K59" s="62">
        <f>1932600-260119.13-13036.05</f>
        <v>1659444.82</v>
      </c>
      <c r="L59" s="62">
        <v>1332555.4099999999</v>
      </c>
      <c r="M59" s="57">
        <f>1299966+131912.68</f>
        <v>1431878.68</v>
      </c>
      <c r="N59" s="57">
        <v>1430168.89</v>
      </c>
      <c r="O59" s="57">
        <v>1870289.81</v>
      </c>
      <c r="P59" s="56">
        <v>1300000</v>
      </c>
      <c r="Q59" s="56">
        <v>1300000</v>
      </c>
      <c r="R59" s="56">
        <v>1300000</v>
      </c>
      <c r="S59" s="5" t="s">
        <v>103</v>
      </c>
      <c r="T59" s="3">
        <v>1617750</v>
      </c>
      <c r="U59" s="5">
        <f t="shared" si="57"/>
        <v>-187581.1100000001</v>
      </c>
      <c r="V59" s="42">
        <v>1300000</v>
      </c>
      <c r="W59" s="4">
        <v>1300000</v>
      </c>
      <c r="X59" s="4">
        <v>1300000</v>
      </c>
      <c r="Y59" s="50">
        <f t="shared" si="58"/>
        <v>570289.81000000006</v>
      </c>
      <c r="Z59" s="5">
        <f t="shared" si="59"/>
        <v>0</v>
      </c>
      <c r="AA59" s="5">
        <f t="shared" si="60"/>
        <v>0</v>
      </c>
      <c r="AE59" s="3">
        <v>1430168.89</v>
      </c>
      <c r="AG59" s="5">
        <f t="shared" si="61"/>
        <v>0</v>
      </c>
    </row>
    <row r="60" spans="1:36" s="6" customFormat="1" ht="39.75" customHeight="1" x14ac:dyDescent="0.25">
      <c r="A60" s="106"/>
      <c r="B60" s="97"/>
      <c r="C60" s="78" t="s">
        <v>18</v>
      </c>
      <c r="D60" s="78" t="s">
        <v>8</v>
      </c>
      <c r="E60" s="78" t="s">
        <v>12</v>
      </c>
      <c r="F60" s="78" t="s">
        <v>12</v>
      </c>
      <c r="G60" s="78" t="s">
        <v>12</v>
      </c>
      <c r="H60" s="78" t="s">
        <v>12</v>
      </c>
      <c r="I60" s="59">
        <f t="shared" si="73"/>
        <v>21165103.149999999</v>
      </c>
      <c r="J60" s="59">
        <v>2331361.5099999998</v>
      </c>
      <c r="K60" s="62">
        <f>2393405-6265.96</f>
        <v>2387139.04</v>
      </c>
      <c r="L60" s="62">
        <f>2393405-1000000+400000-32251.34</f>
        <v>1761153.66</v>
      </c>
      <c r="M60" s="57">
        <f>1793405-224088.61</f>
        <v>1569316.3900000001</v>
      </c>
      <c r="N60" s="57">
        <v>2599917.94</v>
      </c>
      <c r="O60" s="57">
        <v>3554426.61</v>
      </c>
      <c r="P60" s="56">
        <v>2320596</v>
      </c>
      <c r="Q60" s="56">
        <v>2320596</v>
      </c>
      <c r="R60" s="56">
        <v>2320596</v>
      </c>
      <c r="S60" s="5" t="s">
        <v>103</v>
      </c>
      <c r="T60" s="3">
        <v>2600000</v>
      </c>
      <c r="U60" s="5">
        <f t="shared" si="57"/>
        <v>-82.060000000055879</v>
      </c>
      <c r="V60" s="42">
        <v>3797405</v>
      </c>
      <c r="W60" s="3">
        <v>3689405</v>
      </c>
      <c r="X60" s="4">
        <v>4091405</v>
      </c>
      <c r="Y60" s="50">
        <f t="shared" si="58"/>
        <v>-242978.39000000013</v>
      </c>
      <c r="Z60" s="5">
        <f t="shared" si="59"/>
        <v>-1368809</v>
      </c>
      <c r="AA60" s="5">
        <f t="shared" si="60"/>
        <v>-1770809</v>
      </c>
      <c r="AE60" s="3">
        <v>2599917.94</v>
      </c>
      <c r="AG60" s="5">
        <f t="shared" si="61"/>
        <v>0</v>
      </c>
    </row>
    <row r="61" spans="1:36" s="6" customFormat="1" ht="39.75" customHeight="1" x14ac:dyDescent="0.25">
      <c r="A61" s="106"/>
      <c r="B61" s="97"/>
      <c r="C61" s="78" t="s">
        <v>19</v>
      </c>
      <c r="D61" s="78" t="s">
        <v>8</v>
      </c>
      <c r="E61" s="78" t="s">
        <v>12</v>
      </c>
      <c r="F61" s="78" t="s">
        <v>12</v>
      </c>
      <c r="G61" s="78" t="s">
        <v>12</v>
      </c>
      <c r="H61" s="78" t="s">
        <v>12</v>
      </c>
      <c r="I61" s="59">
        <f t="shared" si="73"/>
        <v>11233102.449999999</v>
      </c>
      <c r="J61" s="59">
        <v>1945731</v>
      </c>
      <c r="K61" s="62">
        <f>1700000-321922-18696.08</f>
        <v>1359381.92</v>
      </c>
      <c r="L61" s="62">
        <v>1099997.1599999999</v>
      </c>
      <c r="M61" s="62">
        <f>1700000-1200000+600000-170484.25</f>
        <v>929515.75</v>
      </c>
      <c r="N61" s="62">
        <f>1000000-2.64</f>
        <v>999997.36</v>
      </c>
      <c r="O61" s="56">
        <v>1598479.26</v>
      </c>
      <c r="P61" s="56">
        <v>1100000</v>
      </c>
      <c r="Q61" s="56">
        <v>1100000</v>
      </c>
      <c r="R61" s="56">
        <v>1100000</v>
      </c>
      <c r="S61" s="5" t="s">
        <v>103</v>
      </c>
      <c r="T61" s="2">
        <v>1000000</v>
      </c>
      <c r="U61" s="5">
        <f t="shared" si="57"/>
        <v>-2.6400000000139698</v>
      </c>
      <c r="V61" s="41">
        <v>1000000</v>
      </c>
      <c r="W61" s="4">
        <v>1100000</v>
      </c>
      <c r="X61" s="4">
        <v>1100000</v>
      </c>
      <c r="Y61" s="50">
        <f t="shared" si="58"/>
        <v>598479.26</v>
      </c>
      <c r="Z61" s="5">
        <f t="shared" si="59"/>
        <v>0</v>
      </c>
      <c r="AA61" s="5">
        <f t="shared" si="60"/>
        <v>0</v>
      </c>
      <c r="AE61" s="2">
        <f>1000000-2.64</f>
        <v>999997.36</v>
      </c>
      <c r="AG61" s="5">
        <f t="shared" si="61"/>
        <v>0</v>
      </c>
    </row>
    <row r="62" spans="1:36" s="6" customFormat="1" ht="39.75" customHeight="1" x14ac:dyDescent="0.25">
      <c r="A62" s="106"/>
      <c r="B62" s="97"/>
      <c r="C62" s="78" t="s">
        <v>20</v>
      </c>
      <c r="D62" s="78" t="s">
        <v>8</v>
      </c>
      <c r="E62" s="78" t="s">
        <v>12</v>
      </c>
      <c r="F62" s="78" t="s">
        <v>12</v>
      </c>
      <c r="G62" s="78" t="s">
        <v>12</v>
      </c>
      <c r="H62" s="78" t="s">
        <v>12</v>
      </c>
      <c r="I62" s="59">
        <f t="shared" si="73"/>
        <v>19289722.16</v>
      </c>
      <c r="J62" s="59">
        <v>2170360.4300000002</v>
      </c>
      <c r="K62" s="62">
        <f>2093747-401301-168.76</f>
        <v>1692277.24</v>
      </c>
      <c r="L62" s="62">
        <v>1823920.45</v>
      </c>
      <c r="M62" s="57">
        <f>1903307-163213.41</f>
        <v>1740093.59</v>
      </c>
      <c r="N62" s="57">
        <v>1267309.6499999999</v>
      </c>
      <c r="O62" s="57">
        <v>2757294.8</v>
      </c>
      <c r="P62" s="57">
        <v>2612822</v>
      </c>
      <c r="Q62" s="57">
        <v>2612822</v>
      </c>
      <c r="R62" s="57">
        <v>2612822</v>
      </c>
      <c r="S62" s="5" t="s">
        <v>103</v>
      </c>
      <c r="T62" s="3">
        <v>1903307</v>
      </c>
      <c r="U62" s="5">
        <f t="shared" si="57"/>
        <v>-635997.35000000009</v>
      </c>
      <c r="V62" s="42">
        <v>1903307</v>
      </c>
      <c r="W62" s="3">
        <v>1903307</v>
      </c>
      <c r="X62" s="3">
        <v>1903307</v>
      </c>
      <c r="Y62" s="50">
        <f t="shared" si="58"/>
        <v>853987.79999999981</v>
      </c>
      <c r="Z62" s="5">
        <f t="shared" si="59"/>
        <v>709515</v>
      </c>
      <c r="AA62" s="5">
        <f t="shared" si="60"/>
        <v>709515</v>
      </c>
      <c r="AE62" s="3">
        <v>1267309.6499999999</v>
      </c>
      <c r="AG62" s="5">
        <f t="shared" si="61"/>
        <v>0</v>
      </c>
    </row>
    <row r="63" spans="1:36" s="6" customFormat="1" ht="66" customHeight="1" x14ac:dyDescent="0.25">
      <c r="A63" s="81">
        <v>24</v>
      </c>
      <c r="B63" s="82" t="s">
        <v>127</v>
      </c>
      <c r="C63" s="78" t="s">
        <v>32</v>
      </c>
      <c r="D63" s="78" t="s">
        <v>8</v>
      </c>
      <c r="E63" s="78" t="s">
        <v>12</v>
      </c>
      <c r="F63" s="78" t="s">
        <v>12</v>
      </c>
      <c r="G63" s="78" t="s">
        <v>12</v>
      </c>
      <c r="H63" s="78" t="s">
        <v>12</v>
      </c>
      <c r="I63" s="59">
        <f t="shared" si="73"/>
        <v>1188985749.29</v>
      </c>
      <c r="J63" s="59">
        <f>99362389.41+5000000+2500000</f>
        <v>106862389.41</v>
      </c>
      <c r="K63" s="59">
        <f>97362389+9000000+4922806.3+2077193.7</f>
        <v>113362389</v>
      </c>
      <c r="L63" s="59">
        <v>121652713.86</v>
      </c>
      <c r="M63" s="56">
        <f>145079104+1700000-1722790.01</f>
        <v>145056313.99000001</v>
      </c>
      <c r="N63" s="56">
        <v>139638143.03</v>
      </c>
      <c r="O63" s="56">
        <v>143007200</v>
      </c>
      <c r="P63" s="56">
        <v>139802200</v>
      </c>
      <c r="Q63" s="56">
        <v>139802200</v>
      </c>
      <c r="R63" s="56">
        <v>139802200</v>
      </c>
      <c r="S63" s="5"/>
      <c r="T63" s="4">
        <v>123302198</v>
      </c>
      <c r="U63" s="5">
        <f t="shared" si="57"/>
        <v>16335945.030000001</v>
      </c>
      <c r="V63" s="41">
        <v>137302200</v>
      </c>
      <c r="W63" s="4">
        <v>137302200</v>
      </c>
      <c r="X63" s="4">
        <v>137302200</v>
      </c>
      <c r="Y63" s="50">
        <f t="shared" si="58"/>
        <v>5705000</v>
      </c>
      <c r="Z63" s="5">
        <f t="shared" si="59"/>
        <v>2500000</v>
      </c>
      <c r="AA63" s="5">
        <f t="shared" si="60"/>
        <v>2500000</v>
      </c>
      <c r="AE63" s="4">
        <v>139638143.03</v>
      </c>
      <c r="AG63" s="5">
        <f t="shared" si="61"/>
        <v>0</v>
      </c>
    </row>
    <row r="64" spans="1:36" s="6" customFormat="1" ht="49.5" customHeight="1" x14ac:dyDescent="0.25">
      <c r="A64" s="81">
        <v>25</v>
      </c>
      <c r="B64" s="78" t="s">
        <v>61</v>
      </c>
      <c r="C64" s="78" t="s">
        <v>27</v>
      </c>
      <c r="D64" s="78" t="s">
        <v>8</v>
      </c>
      <c r="E64" s="78" t="s">
        <v>12</v>
      </c>
      <c r="F64" s="78" t="s">
        <v>12</v>
      </c>
      <c r="G64" s="78" t="s">
        <v>12</v>
      </c>
      <c r="H64" s="78" t="s">
        <v>12</v>
      </c>
      <c r="I64" s="59">
        <f t="shared" si="73"/>
        <v>1615021459.9000006</v>
      </c>
      <c r="J64" s="59">
        <f>177700000+4600000-1410059.59-1199940.4</f>
        <v>179690000.00999999</v>
      </c>
      <c r="K64" s="59">
        <f>190154874.28+159866.72+1500000+1840133.28</f>
        <v>193654874.28</v>
      </c>
      <c r="L64" s="59">
        <f>215505954.83+198000</f>
        <v>215703954.83000001</v>
      </c>
      <c r="M64" s="56">
        <v>218465347.84</v>
      </c>
      <c r="N64" s="56">
        <v>208381117.22</v>
      </c>
      <c r="O64" s="56">
        <f>136790266.83+58452319.31</f>
        <v>195242586.14000002</v>
      </c>
      <c r="P64" s="56">
        <v>134627859.86000001</v>
      </c>
      <c r="Q64" s="56">
        <v>134627859.86000001</v>
      </c>
      <c r="R64" s="56">
        <v>134627859.86000001</v>
      </c>
      <c r="S64" s="5"/>
      <c r="T64" s="4">
        <v>212886000</v>
      </c>
      <c r="U64" s="5">
        <f t="shared" si="57"/>
        <v>-4504882.7800000012</v>
      </c>
      <c r="V64" s="41">
        <v>163280706.80000001</v>
      </c>
      <c r="W64" s="4">
        <v>226386000</v>
      </c>
      <c r="X64" s="4">
        <v>226386000</v>
      </c>
      <c r="Y64" s="50">
        <f t="shared" si="58"/>
        <v>31961879.340000004</v>
      </c>
      <c r="Z64" s="5">
        <f t="shared" ref="Z64:Z95" si="74">P64-W64</f>
        <v>-91758140.139999986</v>
      </c>
      <c r="AA64" s="5">
        <f t="shared" ref="AA64:AA95" si="75">R64-X64</f>
        <v>-91758140.139999986</v>
      </c>
      <c r="AE64" s="4">
        <v>208381117.22</v>
      </c>
      <c r="AG64" s="5">
        <f t="shared" si="61"/>
        <v>0</v>
      </c>
      <c r="AI64" s="5">
        <f>O64+O73+O76+O77</f>
        <v>244082631.48000002</v>
      </c>
      <c r="AJ64" s="6">
        <v>236752727</v>
      </c>
    </row>
    <row r="65" spans="1:36" s="6" customFormat="1" ht="45" customHeight="1" x14ac:dyDescent="0.25">
      <c r="A65" s="98">
        <v>26</v>
      </c>
      <c r="B65" s="101" t="s">
        <v>62</v>
      </c>
      <c r="C65" s="101" t="s">
        <v>93</v>
      </c>
      <c r="D65" s="78" t="s">
        <v>8</v>
      </c>
      <c r="E65" s="78" t="s">
        <v>12</v>
      </c>
      <c r="F65" s="78" t="s">
        <v>12</v>
      </c>
      <c r="G65" s="78" t="s">
        <v>12</v>
      </c>
      <c r="H65" s="78" t="s">
        <v>12</v>
      </c>
      <c r="I65" s="59">
        <f t="shared" si="73"/>
        <v>335082392.81</v>
      </c>
      <c r="J65" s="56">
        <f t="shared" ref="J65:N65" si="76">J69+J70+J71+J72+J73+J76+J77</f>
        <v>44027696.36999999</v>
      </c>
      <c r="K65" s="56">
        <f t="shared" si="76"/>
        <v>29521452.669999998</v>
      </c>
      <c r="L65" s="56">
        <f t="shared" si="76"/>
        <v>29433094.98</v>
      </c>
      <c r="M65" s="56">
        <f t="shared" si="76"/>
        <v>36920773.090000004</v>
      </c>
      <c r="N65" s="56">
        <f t="shared" si="76"/>
        <v>40564309.119999997</v>
      </c>
      <c r="O65" s="56">
        <f>O69+O70+O71+O72+O73+O76+O77</f>
        <v>51058397.690000005</v>
      </c>
      <c r="P65" s="56">
        <f>P69+P70+P71+P72+P73+P76+P77</f>
        <v>34518889.630000003</v>
      </c>
      <c r="Q65" s="56">
        <f t="shared" ref="Q65" si="77">Q69+Q70+Q71+Q72+Q73+Q76+Q77</f>
        <v>34518889.630000003</v>
      </c>
      <c r="R65" s="56">
        <f t="shared" ref="R65" si="78">R69+R70+R71+R72+R73+R76+R77</f>
        <v>34518889.630000003</v>
      </c>
      <c r="S65" s="5" t="s">
        <v>103</v>
      </c>
      <c r="T65" s="4">
        <f>T69+T70+T71+T72+T73</f>
        <v>39060202.420000002</v>
      </c>
      <c r="U65" s="5">
        <f t="shared" si="57"/>
        <v>1504106.6999999955</v>
      </c>
      <c r="V65" s="4">
        <f t="shared" ref="V65:X65" si="79">V69+V70+V71+V72+V73+V76+V77</f>
        <v>34202145.629999995</v>
      </c>
      <c r="W65" s="4">
        <f t="shared" si="79"/>
        <v>34002145.630000003</v>
      </c>
      <c r="X65" s="4">
        <f t="shared" si="79"/>
        <v>34002145.630000003</v>
      </c>
      <c r="Y65" s="50">
        <f>O65-V65</f>
        <v>16856252.06000001</v>
      </c>
      <c r="Z65" s="5">
        <f t="shared" si="74"/>
        <v>516744</v>
      </c>
      <c r="AA65" s="5">
        <f t="shared" si="75"/>
        <v>516744</v>
      </c>
      <c r="AB65" s="5">
        <f>T73+T76</f>
        <v>37451497.420000002</v>
      </c>
      <c r="AE65" s="4">
        <f t="shared" ref="AE65" si="80">AE69+AE70+AE71+AE72+AE73+AE76+AE77</f>
        <v>40564309.119999997</v>
      </c>
      <c r="AG65" s="5">
        <f t="shared" si="61"/>
        <v>0</v>
      </c>
      <c r="AJ65" s="5">
        <f>AI64-AJ64</f>
        <v>7329904.4800000191</v>
      </c>
    </row>
    <row r="66" spans="1:36" s="6" customFormat="1" ht="45" customHeight="1" x14ac:dyDescent="0.25">
      <c r="A66" s="99"/>
      <c r="B66" s="113"/>
      <c r="C66" s="113"/>
      <c r="D66" s="78" t="s">
        <v>30</v>
      </c>
      <c r="E66" s="78" t="s">
        <v>12</v>
      </c>
      <c r="F66" s="78" t="s">
        <v>12</v>
      </c>
      <c r="G66" s="78" t="s">
        <v>12</v>
      </c>
      <c r="H66" s="78" t="s">
        <v>12</v>
      </c>
      <c r="I66" s="59">
        <f t="shared" si="73"/>
        <v>78293.100000000006</v>
      </c>
      <c r="J66" s="59">
        <f>J74</f>
        <v>0</v>
      </c>
      <c r="K66" s="59">
        <f t="shared" ref="K66:R67" si="81">K74</f>
        <v>0</v>
      </c>
      <c r="L66" s="59">
        <f t="shared" si="81"/>
        <v>0</v>
      </c>
      <c r="M66" s="59">
        <f t="shared" si="81"/>
        <v>0</v>
      </c>
      <c r="N66" s="59">
        <f t="shared" si="81"/>
        <v>78293.100000000006</v>
      </c>
      <c r="O66" s="59">
        <f t="shared" si="81"/>
        <v>0</v>
      </c>
      <c r="P66" s="59">
        <f t="shared" si="81"/>
        <v>0</v>
      </c>
      <c r="Q66" s="59">
        <f t="shared" ref="Q66" si="82">Q74</f>
        <v>0</v>
      </c>
      <c r="R66" s="59">
        <f t="shared" si="81"/>
        <v>0</v>
      </c>
      <c r="S66" s="5"/>
      <c r="T66" s="1">
        <f>T74</f>
        <v>78293.100000000006</v>
      </c>
      <c r="U66" s="5">
        <f t="shared" si="57"/>
        <v>0</v>
      </c>
      <c r="V66" s="1">
        <f t="shared" ref="V66:X66" si="83">V74</f>
        <v>0</v>
      </c>
      <c r="W66" s="1">
        <f t="shared" si="83"/>
        <v>0</v>
      </c>
      <c r="X66" s="1">
        <f t="shared" si="83"/>
        <v>0</v>
      </c>
      <c r="Y66" s="50">
        <f t="shared" ref="Y66:Y96" si="84">O66-V66</f>
        <v>0</v>
      </c>
      <c r="Z66" s="5">
        <f t="shared" si="74"/>
        <v>0</v>
      </c>
      <c r="AA66" s="5">
        <f t="shared" si="75"/>
        <v>0</v>
      </c>
      <c r="AE66" s="1">
        <f t="shared" ref="AE66" si="85">AE74</f>
        <v>78293.100000000006</v>
      </c>
      <c r="AG66" s="5">
        <f t="shared" si="61"/>
        <v>0</v>
      </c>
    </row>
    <row r="67" spans="1:36" s="6" customFormat="1" ht="33.75" customHeight="1" x14ac:dyDescent="0.25">
      <c r="A67" s="99"/>
      <c r="B67" s="113"/>
      <c r="C67" s="102"/>
      <c r="D67" s="78" t="s">
        <v>37</v>
      </c>
      <c r="E67" s="78" t="s">
        <v>12</v>
      </c>
      <c r="F67" s="78" t="s">
        <v>12</v>
      </c>
      <c r="G67" s="78" t="s">
        <v>12</v>
      </c>
      <c r="H67" s="78" t="s">
        <v>12</v>
      </c>
      <c r="I67" s="59">
        <f t="shared" si="73"/>
        <v>493882</v>
      </c>
      <c r="J67" s="59">
        <f>J75</f>
        <v>0</v>
      </c>
      <c r="K67" s="59">
        <f t="shared" si="81"/>
        <v>0</v>
      </c>
      <c r="L67" s="59">
        <f t="shared" si="81"/>
        <v>0</v>
      </c>
      <c r="M67" s="59">
        <f t="shared" si="81"/>
        <v>0</v>
      </c>
      <c r="N67" s="59">
        <f t="shared" si="81"/>
        <v>493882</v>
      </c>
      <c r="O67" s="59">
        <f t="shared" si="81"/>
        <v>0</v>
      </c>
      <c r="P67" s="59">
        <f t="shared" si="81"/>
        <v>0</v>
      </c>
      <c r="Q67" s="59">
        <f t="shared" ref="Q67" si="86">Q75</f>
        <v>0</v>
      </c>
      <c r="R67" s="59">
        <f t="shared" si="81"/>
        <v>0</v>
      </c>
      <c r="S67" s="5"/>
      <c r="T67" s="1">
        <f>T75</f>
        <v>493882</v>
      </c>
      <c r="U67" s="5">
        <f t="shared" si="57"/>
        <v>0</v>
      </c>
      <c r="V67" s="1">
        <f t="shared" ref="V67:X67" si="87">V75</f>
        <v>0</v>
      </c>
      <c r="W67" s="1">
        <f t="shared" si="87"/>
        <v>0</v>
      </c>
      <c r="X67" s="1">
        <f t="shared" si="87"/>
        <v>0</v>
      </c>
      <c r="Y67" s="50">
        <f t="shared" si="84"/>
        <v>0</v>
      </c>
      <c r="Z67" s="5">
        <f t="shared" si="74"/>
        <v>0</v>
      </c>
      <c r="AA67" s="5">
        <f t="shared" si="75"/>
        <v>0</v>
      </c>
      <c r="AE67" s="1">
        <f t="shared" ref="AE67" si="88">AE75</f>
        <v>493882</v>
      </c>
      <c r="AG67" s="5">
        <f t="shared" si="61"/>
        <v>0</v>
      </c>
    </row>
    <row r="68" spans="1:36" s="6" customFormat="1" x14ac:dyDescent="0.25">
      <c r="A68" s="99"/>
      <c r="B68" s="113"/>
      <c r="C68" s="78" t="s">
        <v>24</v>
      </c>
      <c r="D68" s="78"/>
      <c r="E68" s="78"/>
      <c r="F68" s="78"/>
      <c r="G68" s="78"/>
      <c r="H68" s="78"/>
      <c r="I68" s="59"/>
      <c r="J68" s="59"/>
      <c r="K68" s="59"/>
      <c r="L68" s="59"/>
      <c r="M68" s="56"/>
      <c r="N68" s="61"/>
      <c r="O68" s="56"/>
      <c r="P68" s="56"/>
      <c r="Q68" s="56"/>
      <c r="R68" s="56"/>
      <c r="S68" s="5"/>
      <c r="T68" s="7"/>
      <c r="U68" s="5">
        <f>SUM(U69:U72)</f>
        <v>-42122.199999999953</v>
      </c>
      <c r="V68" s="4"/>
      <c r="W68" s="4"/>
      <c r="X68" s="4"/>
      <c r="Y68" s="50">
        <f t="shared" si="84"/>
        <v>0</v>
      </c>
      <c r="Z68" s="5">
        <f t="shared" si="74"/>
        <v>0</v>
      </c>
      <c r="AA68" s="5">
        <f t="shared" si="75"/>
        <v>0</v>
      </c>
      <c r="AE68" s="7"/>
      <c r="AG68" s="5">
        <f t="shared" si="61"/>
        <v>0</v>
      </c>
    </row>
    <row r="69" spans="1:36" s="6" customFormat="1" ht="43.5" customHeight="1" x14ac:dyDescent="0.25">
      <c r="A69" s="99"/>
      <c r="B69" s="113"/>
      <c r="C69" s="78" t="s">
        <v>21</v>
      </c>
      <c r="D69" s="78" t="s">
        <v>8</v>
      </c>
      <c r="E69" s="78" t="s">
        <v>12</v>
      </c>
      <c r="F69" s="78" t="s">
        <v>12</v>
      </c>
      <c r="G69" s="78" t="s">
        <v>12</v>
      </c>
      <c r="H69" s="78" t="s">
        <v>12</v>
      </c>
      <c r="I69" s="59">
        <f t="shared" ref="I69:I78" si="89">SUM(J69:R69)</f>
        <v>4148983.1</v>
      </c>
      <c r="J69" s="59">
        <f>252000</f>
        <v>252000</v>
      </c>
      <c r="K69" s="62">
        <f>428400-229000-200</f>
        <v>199200</v>
      </c>
      <c r="L69" s="62">
        <f>298150</f>
        <v>298150</v>
      </c>
      <c r="M69" s="57">
        <f>334000-46700.25</f>
        <v>287299.75</v>
      </c>
      <c r="N69" s="57">
        <v>330000</v>
      </c>
      <c r="O69" s="57">
        <v>553333.35</v>
      </c>
      <c r="P69" s="57">
        <v>743000</v>
      </c>
      <c r="Q69" s="57">
        <v>743000</v>
      </c>
      <c r="R69" s="57">
        <v>743000</v>
      </c>
      <c r="S69" s="5"/>
      <c r="T69" s="3">
        <v>334405</v>
      </c>
      <c r="U69" s="5">
        <f t="shared" ref="U69:U75" si="90">N69-T69</f>
        <v>-4405</v>
      </c>
      <c r="V69" s="42">
        <v>383000</v>
      </c>
      <c r="W69" s="3">
        <v>383000</v>
      </c>
      <c r="X69" s="3">
        <v>383000</v>
      </c>
      <c r="Y69" s="50">
        <f t="shared" si="84"/>
        <v>170333.34999999998</v>
      </c>
      <c r="Z69" s="5">
        <f t="shared" si="74"/>
        <v>360000</v>
      </c>
      <c r="AA69" s="5">
        <f t="shared" si="75"/>
        <v>360000</v>
      </c>
      <c r="AE69" s="3">
        <v>330000</v>
      </c>
      <c r="AG69" s="5">
        <f t="shared" si="61"/>
        <v>0</v>
      </c>
      <c r="AI69" s="5">
        <f>SUM(O69:O72)</f>
        <v>2218352.35</v>
      </c>
    </row>
    <row r="70" spans="1:36" s="6" customFormat="1" ht="43.5" customHeight="1" x14ac:dyDescent="0.25">
      <c r="A70" s="99"/>
      <c r="B70" s="113"/>
      <c r="C70" s="78" t="s">
        <v>19</v>
      </c>
      <c r="D70" s="78" t="s">
        <v>8</v>
      </c>
      <c r="E70" s="78" t="s">
        <v>12</v>
      </c>
      <c r="F70" s="78" t="s">
        <v>12</v>
      </c>
      <c r="G70" s="78" t="s">
        <v>12</v>
      </c>
      <c r="H70" s="78" t="s">
        <v>12</v>
      </c>
      <c r="I70" s="59">
        <f t="shared" si="89"/>
        <v>4656757.3</v>
      </c>
      <c r="J70" s="59">
        <f>239435+91000</f>
        <v>330435</v>
      </c>
      <c r="K70" s="62">
        <f>180073-833+70000-95857</f>
        <v>153383</v>
      </c>
      <c r="L70" s="62">
        <v>349978.55</v>
      </c>
      <c r="M70" s="57">
        <f>419650.95-10000-74307</f>
        <v>335343.95</v>
      </c>
      <c r="N70" s="56">
        <f>634300-18247.2</f>
        <v>616052.80000000005</v>
      </c>
      <c r="O70" s="56">
        <v>589332</v>
      </c>
      <c r="P70" s="56">
        <v>760744</v>
      </c>
      <c r="Q70" s="56">
        <v>760744</v>
      </c>
      <c r="R70" s="56">
        <v>760744</v>
      </c>
      <c r="S70" s="5"/>
      <c r="T70" s="4">
        <v>634300</v>
      </c>
      <c r="U70" s="5">
        <f t="shared" si="90"/>
        <v>-18247.199999999953</v>
      </c>
      <c r="V70" s="41">
        <v>550000</v>
      </c>
      <c r="W70" s="4">
        <v>350000</v>
      </c>
      <c r="X70" s="4">
        <v>350000</v>
      </c>
      <c r="Y70" s="50">
        <f t="shared" si="84"/>
        <v>39332</v>
      </c>
      <c r="Z70" s="5">
        <f t="shared" si="74"/>
        <v>410744</v>
      </c>
      <c r="AA70" s="5">
        <f t="shared" si="75"/>
        <v>410744</v>
      </c>
      <c r="AE70" s="4">
        <f>634300-18247.2</f>
        <v>616052.80000000005</v>
      </c>
      <c r="AG70" s="5">
        <f t="shared" si="61"/>
        <v>0</v>
      </c>
    </row>
    <row r="71" spans="1:36" s="6" customFormat="1" ht="43.5" customHeight="1" x14ac:dyDescent="0.25">
      <c r="A71" s="99"/>
      <c r="B71" s="113"/>
      <c r="C71" s="78" t="s">
        <v>20</v>
      </c>
      <c r="D71" s="78" t="s">
        <v>8</v>
      </c>
      <c r="E71" s="78" t="s">
        <v>12</v>
      </c>
      <c r="F71" s="78" t="s">
        <v>12</v>
      </c>
      <c r="G71" s="78" t="s">
        <v>12</v>
      </c>
      <c r="H71" s="78" t="s">
        <v>12</v>
      </c>
      <c r="I71" s="59">
        <f t="shared" si="89"/>
        <v>5109774</v>
      </c>
      <c r="J71" s="59">
        <v>117300</v>
      </c>
      <c r="K71" s="62">
        <v>162400</v>
      </c>
      <c r="L71" s="62">
        <v>305850</v>
      </c>
      <c r="M71" s="57">
        <f>410000-93+80000</f>
        <v>489907</v>
      </c>
      <c r="N71" s="57">
        <v>530580</v>
      </c>
      <c r="O71" s="57">
        <v>995737</v>
      </c>
      <c r="P71" s="57">
        <v>836000</v>
      </c>
      <c r="Q71" s="57">
        <v>836000</v>
      </c>
      <c r="R71" s="57">
        <v>836000</v>
      </c>
      <c r="S71" s="5"/>
      <c r="T71" s="3">
        <v>550000</v>
      </c>
      <c r="U71" s="5">
        <f t="shared" si="90"/>
        <v>-19420</v>
      </c>
      <c r="V71" s="42">
        <v>1090000</v>
      </c>
      <c r="W71" s="3">
        <v>1090000</v>
      </c>
      <c r="X71" s="3">
        <v>1090000</v>
      </c>
      <c r="Y71" s="50">
        <f t="shared" si="84"/>
        <v>-94263</v>
      </c>
      <c r="Z71" s="5">
        <f t="shared" si="74"/>
        <v>-254000</v>
      </c>
      <c r="AA71" s="5">
        <f t="shared" si="75"/>
        <v>-254000</v>
      </c>
      <c r="AE71" s="3">
        <v>530580</v>
      </c>
      <c r="AG71" s="5">
        <f t="shared" si="61"/>
        <v>0</v>
      </c>
    </row>
    <row r="72" spans="1:36" s="6" customFormat="1" ht="43.5" customHeight="1" x14ac:dyDescent="0.25">
      <c r="A72" s="99"/>
      <c r="B72" s="113"/>
      <c r="C72" s="78" t="s">
        <v>17</v>
      </c>
      <c r="D72" s="78" t="s">
        <v>8</v>
      </c>
      <c r="E72" s="78" t="s">
        <v>12</v>
      </c>
      <c r="F72" s="78" t="s">
        <v>12</v>
      </c>
      <c r="G72" s="78" t="s">
        <v>12</v>
      </c>
      <c r="H72" s="78" t="s">
        <v>12</v>
      </c>
      <c r="I72" s="59">
        <f t="shared" si="89"/>
        <v>486743.98</v>
      </c>
      <c r="J72" s="59">
        <v>28093.98</v>
      </c>
      <c r="K72" s="62">
        <v>0</v>
      </c>
      <c r="L72" s="62">
        <v>0</v>
      </c>
      <c r="M72" s="57">
        <v>48750</v>
      </c>
      <c r="N72" s="56">
        <v>89950</v>
      </c>
      <c r="O72" s="56">
        <v>79950</v>
      </c>
      <c r="P72" s="56">
        <v>80000</v>
      </c>
      <c r="Q72" s="56">
        <v>80000</v>
      </c>
      <c r="R72" s="56">
        <v>80000</v>
      </c>
      <c r="S72" s="5"/>
      <c r="T72" s="4">
        <v>90000</v>
      </c>
      <c r="U72" s="5">
        <f t="shared" si="90"/>
        <v>-50</v>
      </c>
      <c r="V72" s="41">
        <v>80000</v>
      </c>
      <c r="W72" s="4">
        <v>80000</v>
      </c>
      <c r="X72" s="4">
        <v>80000</v>
      </c>
      <c r="Y72" s="50">
        <f t="shared" si="84"/>
        <v>-50</v>
      </c>
      <c r="Z72" s="5">
        <f t="shared" si="74"/>
        <v>0</v>
      </c>
      <c r="AA72" s="5">
        <f t="shared" si="75"/>
        <v>0</v>
      </c>
      <c r="AE72" s="4">
        <v>89950</v>
      </c>
      <c r="AG72" s="5">
        <f t="shared" si="61"/>
        <v>0</v>
      </c>
    </row>
    <row r="73" spans="1:36" s="6" customFormat="1" ht="43.5" customHeight="1" x14ac:dyDescent="0.25">
      <c r="A73" s="99"/>
      <c r="B73" s="113"/>
      <c r="C73" s="101" t="s">
        <v>107</v>
      </c>
      <c r="D73" s="78" t="s">
        <v>8</v>
      </c>
      <c r="E73" s="78" t="s">
        <v>12</v>
      </c>
      <c r="F73" s="78" t="s">
        <v>12</v>
      </c>
      <c r="G73" s="78" t="s">
        <v>12</v>
      </c>
      <c r="H73" s="78" t="s">
        <v>12</v>
      </c>
      <c r="I73" s="59">
        <f t="shared" si="89"/>
        <v>303742264.44</v>
      </c>
      <c r="J73" s="59">
        <f>44781524.94+2000000-283209.85-30973-1336183.24-1831291.46</f>
        <v>43299867.389999993</v>
      </c>
      <c r="K73" s="59">
        <f>28057544+127133-4942.82+1100000-264563.84-8700.67</f>
        <v>29006469.669999998</v>
      </c>
      <c r="L73" s="59">
        <f>29959116.43-1480000</f>
        <v>28479116.43</v>
      </c>
      <c r="M73" s="56">
        <v>35759472.390000001</v>
      </c>
      <c r="N73" s="56">
        <f>58523.82+758256.64+5764770+2412791.2+8540000+3707712.86+525437.14+160950+16715284.66</f>
        <v>38643726.32</v>
      </c>
      <c r="O73" s="56">
        <f>16371959.72+15884215.63</f>
        <v>32256175.350000001</v>
      </c>
      <c r="P73" s="56">
        <f>16214930+15884215.63</f>
        <v>32099145.630000003</v>
      </c>
      <c r="Q73" s="56">
        <f>15884215.63+5894100+9540830+780000</f>
        <v>32099145.630000003</v>
      </c>
      <c r="R73" s="56">
        <f>15884215.63+5894100+9540830+780000</f>
        <v>32099145.630000003</v>
      </c>
      <c r="S73" s="5">
        <v>14782801</v>
      </c>
      <c r="T73" s="4">
        <v>37451497.420000002</v>
      </c>
      <c r="U73" s="5">
        <f t="shared" si="90"/>
        <v>1192228.8999999985</v>
      </c>
      <c r="V73" s="4">
        <v>32099145.629999999</v>
      </c>
      <c r="W73" s="4">
        <f>15884215.63+5894100+9540830+780000</f>
        <v>32099145.630000003</v>
      </c>
      <c r="X73" s="4">
        <f>15884215.63+5894100+9540830+780000</f>
        <v>32099145.630000003</v>
      </c>
      <c r="Y73" s="50">
        <f t="shared" si="84"/>
        <v>157029.72000000253</v>
      </c>
      <c r="Z73" s="5">
        <f t="shared" si="74"/>
        <v>0</v>
      </c>
      <c r="AA73" s="5">
        <f t="shared" si="75"/>
        <v>0</v>
      </c>
      <c r="AB73" s="6">
        <f>19619870</f>
        <v>19619870</v>
      </c>
      <c r="AC73" s="5">
        <f>AB73-O73</f>
        <v>-12636305.350000001</v>
      </c>
      <c r="AE73" s="4">
        <f>58523.82+758256.64+5764770+2412791.2+8540000+3707712.86+525437.14+160950+16715284.66</f>
        <v>38643726.32</v>
      </c>
      <c r="AG73" s="5">
        <f t="shared" si="61"/>
        <v>0</v>
      </c>
    </row>
    <row r="74" spans="1:36" s="6" customFormat="1" ht="41.25" customHeight="1" x14ac:dyDescent="0.25">
      <c r="A74" s="99"/>
      <c r="B74" s="113"/>
      <c r="C74" s="113"/>
      <c r="D74" s="78" t="s">
        <v>30</v>
      </c>
      <c r="E74" s="78" t="s">
        <v>12</v>
      </c>
      <c r="F74" s="78" t="s">
        <v>12</v>
      </c>
      <c r="G74" s="78" t="s">
        <v>12</v>
      </c>
      <c r="H74" s="78" t="s">
        <v>12</v>
      </c>
      <c r="I74" s="59">
        <f t="shared" si="89"/>
        <v>78293.100000000006</v>
      </c>
      <c r="J74" s="59">
        <v>0</v>
      </c>
      <c r="K74" s="59">
        <v>0</v>
      </c>
      <c r="L74" s="59">
        <v>0</v>
      </c>
      <c r="M74" s="59">
        <v>0</v>
      </c>
      <c r="N74" s="56">
        <v>78293.100000000006</v>
      </c>
      <c r="O74" s="59">
        <v>0</v>
      </c>
      <c r="P74" s="59">
        <v>0</v>
      </c>
      <c r="Q74" s="59">
        <v>0</v>
      </c>
      <c r="R74" s="59">
        <v>0</v>
      </c>
      <c r="S74" s="5"/>
      <c r="T74" s="4">
        <v>78293.100000000006</v>
      </c>
      <c r="U74" s="5">
        <f t="shared" si="90"/>
        <v>0</v>
      </c>
      <c r="V74" s="1">
        <v>0</v>
      </c>
      <c r="W74" s="1">
        <v>0</v>
      </c>
      <c r="X74" s="1">
        <v>0</v>
      </c>
      <c r="Y74" s="50">
        <f t="shared" si="84"/>
        <v>0</v>
      </c>
      <c r="Z74" s="5">
        <f t="shared" si="74"/>
        <v>0</v>
      </c>
      <c r="AA74" s="5">
        <f t="shared" si="75"/>
        <v>0</v>
      </c>
      <c r="AE74" s="4">
        <v>78293.100000000006</v>
      </c>
      <c r="AG74" s="5">
        <f t="shared" si="61"/>
        <v>0</v>
      </c>
    </row>
    <row r="75" spans="1:36" s="6" customFormat="1" ht="41.25" customHeight="1" x14ac:dyDescent="0.25">
      <c r="A75" s="99"/>
      <c r="B75" s="113"/>
      <c r="C75" s="102"/>
      <c r="D75" s="78" t="s">
        <v>37</v>
      </c>
      <c r="E75" s="78" t="s">
        <v>12</v>
      </c>
      <c r="F75" s="78" t="s">
        <v>12</v>
      </c>
      <c r="G75" s="78" t="s">
        <v>12</v>
      </c>
      <c r="H75" s="78" t="s">
        <v>12</v>
      </c>
      <c r="I75" s="59">
        <f t="shared" si="89"/>
        <v>493882</v>
      </c>
      <c r="J75" s="59">
        <v>0</v>
      </c>
      <c r="K75" s="59">
        <v>0</v>
      </c>
      <c r="L75" s="59">
        <v>0</v>
      </c>
      <c r="M75" s="59">
        <v>0</v>
      </c>
      <c r="N75" s="56">
        <v>493882</v>
      </c>
      <c r="O75" s="59">
        <v>0</v>
      </c>
      <c r="P75" s="59">
        <v>0</v>
      </c>
      <c r="Q75" s="59">
        <v>0</v>
      </c>
      <c r="R75" s="59">
        <v>0</v>
      </c>
      <c r="S75" s="5"/>
      <c r="T75" s="4">
        <v>493882</v>
      </c>
      <c r="U75" s="5">
        <f t="shared" si="90"/>
        <v>0</v>
      </c>
      <c r="V75" s="1">
        <v>0</v>
      </c>
      <c r="W75" s="1">
        <v>0</v>
      </c>
      <c r="X75" s="1">
        <v>0</v>
      </c>
      <c r="Y75" s="50">
        <f t="shared" si="84"/>
        <v>0</v>
      </c>
      <c r="Z75" s="5">
        <f t="shared" si="74"/>
        <v>0</v>
      </c>
      <c r="AA75" s="5">
        <f t="shared" si="75"/>
        <v>0</v>
      </c>
      <c r="AE75" s="4">
        <v>493882</v>
      </c>
      <c r="AG75" s="5">
        <f t="shared" si="61"/>
        <v>0</v>
      </c>
    </row>
    <row r="76" spans="1:36" s="6" customFormat="1" ht="41.25" customHeight="1" x14ac:dyDescent="0.25">
      <c r="A76" s="99"/>
      <c r="B76" s="113"/>
      <c r="C76" s="80" t="s">
        <v>104</v>
      </c>
      <c r="D76" s="78" t="s">
        <v>8</v>
      </c>
      <c r="E76" s="78" t="s">
        <v>12</v>
      </c>
      <c r="F76" s="78" t="s">
        <v>12</v>
      </c>
      <c r="G76" s="78" t="s">
        <v>12</v>
      </c>
      <c r="H76" s="78" t="s">
        <v>12</v>
      </c>
      <c r="I76" s="59">
        <f t="shared" si="89"/>
        <v>708000</v>
      </c>
      <c r="J76" s="59">
        <v>0</v>
      </c>
      <c r="K76" s="59">
        <v>0</v>
      </c>
      <c r="L76" s="59">
        <v>0</v>
      </c>
      <c r="M76" s="59">
        <v>0</v>
      </c>
      <c r="N76" s="56">
        <v>354000</v>
      </c>
      <c r="O76" s="56">
        <v>354000</v>
      </c>
      <c r="P76" s="59">
        <v>0</v>
      </c>
      <c r="Q76" s="59">
        <v>0</v>
      </c>
      <c r="R76" s="59">
        <v>0</v>
      </c>
      <c r="S76" s="5"/>
      <c r="T76" s="4"/>
      <c r="U76" s="5"/>
      <c r="V76" s="41">
        <v>0</v>
      </c>
      <c r="W76" s="1">
        <v>0</v>
      </c>
      <c r="X76" s="1">
        <v>0</v>
      </c>
      <c r="Y76" s="50">
        <f t="shared" si="84"/>
        <v>354000</v>
      </c>
      <c r="Z76" s="5">
        <f t="shared" si="74"/>
        <v>0</v>
      </c>
      <c r="AA76" s="5">
        <f t="shared" si="75"/>
        <v>0</v>
      </c>
      <c r="AE76" s="4">
        <v>354000</v>
      </c>
      <c r="AG76" s="5">
        <f t="shared" si="61"/>
        <v>0</v>
      </c>
    </row>
    <row r="77" spans="1:36" s="6" customFormat="1" ht="78" customHeight="1" x14ac:dyDescent="0.25">
      <c r="A77" s="100"/>
      <c r="B77" s="102"/>
      <c r="C77" s="78" t="s">
        <v>110</v>
      </c>
      <c r="D77" s="78" t="s">
        <v>8</v>
      </c>
      <c r="E77" s="78" t="s">
        <v>12</v>
      </c>
      <c r="F77" s="78" t="s">
        <v>12</v>
      </c>
      <c r="G77" s="78" t="s">
        <v>12</v>
      </c>
      <c r="H77" s="78" t="s">
        <v>12</v>
      </c>
      <c r="I77" s="59">
        <f t="shared" si="89"/>
        <v>16229869.99</v>
      </c>
      <c r="J77" s="59">
        <v>0</v>
      </c>
      <c r="K77" s="59">
        <v>0</v>
      </c>
      <c r="L77" s="59">
        <v>0</v>
      </c>
      <c r="M77" s="59">
        <v>0</v>
      </c>
      <c r="N77" s="56">
        <v>0</v>
      </c>
      <c r="O77" s="59">
        <f>14535909.99+1693960</f>
        <v>16229869.99</v>
      </c>
      <c r="P77" s="59">
        <v>0</v>
      </c>
      <c r="Q77" s="59">
        <v>0</v>
      </c>
      <c r="R77" s="59">
        <v>0</v>
      </c>
      <c r="S77" s="5"/>
      <c r="T77" s="4"/>
      <c r="U77" s="5"/>
      <c r="V77" s="43">
        <v>0</v>
      </c>
      <c r="W77" s="1">
        <v>0</v>
      </c>
      <c r="X77" s="1">
        <v>0</v>
      </c>
      <c r="Y77" s="50">
        <f t="shared" si="84"/>
        <v>16229869.99</v>
      </c>
      <c r="Z77" s="5">
        <f t="shared" si="74"/>
        <v>0</v>
      </c>
      <c r="AA77" s="5">
        <f t="shared" si="75"/>
        <v>0</v>
      </c>
      <c r="AE77" s="4">
        <v>0</v>
      </c>
      <c r="AG77" s="5">
        <f t="shared" si="61"/>
        <v>0</v>
      </c>
    </row>
    <row r="78" spans="1:36" s="6" customFormat="1" ht="57" customHeight="1" x14ac:dyDescent="0.25">
      <c r="A78" s="106">
        <v>27</v>
      </c>
      <c r="B78" s="97" t="s">
        <v>73</v>
      </c>
      <c r="C78" s="78" t="s">
        <v>106</v>
      </c>
      <c r="D78" s="78" t="s">
        <v>30</v>
      </c>
      <c r="E78" s="78" t="s">
        <v>12</v>
      </c>
      <c r="F78" s="78" t="s">
        <v>12</v>
      </c>
      <c r="G78" s="78" t="s">
        <v>12</v>
      </c>
      <c r="H78" s="78" t="s">
        <v>12</v>
      </c>
      <c r="I78" s="59">
        <f t="shared" si="89"/>
        <v>209756326.27000001</v>
      </c>
      <c r="J78" s="56">
        <f t="shared" ref="J78:M78" si="91">SUM(J80:J81)</f>
        <v>6205500</v>
      </c>
      <c r="K78" s="56">
        <f t="shared" si="91"/>
        <v>5646328</v>
      </c>
      <c r="L78" s="56">
        <f t="shared" si="91"/>
        <v>8111483.2999999998</v>
      </c>
      <c r="M78" s="56">
        <f t="shared" si="91"/>
        <v>11350284</v>
      </c>
      <c r="N78" s="56">
        <f t="shared" ref="N78:O78" si="92">SUM(N80:N81)</f>
        <v>38541772.789999999</v>
      </c>
      <c r="O78" s="56">
        <f t="shared" si="92"/>
        <v>41178378.030000001</v>
      </c>
      <c r="P78" s="56">
        <f>SUM(P80:P81)</f>
        <v>40868180.149999999</v>
      </c>
      <c r="Q78" s="56">
        <f t="shared" ref="Q78:R78" si="93">SUM(Q80:Q81)</f>
        <v>28927200</v>
      </c>
      <c r="R78" s="56">
        <f t="shared" si="93"/>
        <v>28927200</v>
      </c>
      <c r="S78" s="5"/>
      <c r="T78" s="4">
        <f>T81</f>
        <v>38541772.789999999</v>
      </c>
      <c r="U78" s="5">
        <f t="shared" ref="U78:U109" si="94">N78-T78</f>
        <v>0</v>
      </c>
      <c r="V78" s="41">
        <f>V81</f>
        <v>33282199.030000001</v>
      </c>
      <c r="W78" s="4">
        <f>W81</f>
        <v>32551958.460000001</v>
      </c>
      <c r="X78" s="4">
        <f>X81</f>
        <v>27238205.02</v>
      </c>
      <c r="Y78" s="50">
        <f t="shared" si="84"/>
        <v>7896179</v>
      </c>
      <c r="Z78" s="5">
        <f t="shared" si="74"/>
        <v>8316221.6899999976</v>
      </c>
      <c r="AA78" s="5">
        <f t="shared" si="75"/>
        <v>1688994.9800000004</v>
      </c>
      <c r="AE78" s="4">
        <f>AE81</f>
        <v>38541772.789999999</v>
      </c>
      <c r="AG78" s="5">
        <f t="shared" si="61"/>
        <v>0</v>
      </c>
    </row>
    <row r="79" spans="1:36" s="6" customFormat="1" ht="39" customHeight="1" x14ac:dyDescent="0.25">
      <c r="A79" s="106"/>
      <c r="B79" s="97"/>
      <c r="C79" s="78" t="s">
        <v>24</v>
      </c>
      <c r="D79" s="97"/>
      <c r="E79" s="97"/>
      <c r="F79" s="97"/>
      <c r="G79" s="97"/>
      <c r="H79" s="97"/>
      <c r="I79" s="97"/>
      <c r="J79" s="97"/>
      <c r="K79" s="97"/>
      <c r="L79" s="97"/>
      <c r="M79" s="60"/>
      <c r="N79" s="61"/>
      <c r="O79" s="56"/>
      <c r="P79" s="56"/>
      <c r="Q79" s="56"/>
      <c r="R79" s="56"/>
      <c r="S79" s="5"/>
      <c r="T79" s="7"/>
      <c r="U79" s="5">
        <f t="shared" si="94"/>
        <v>0</v>
      </c>
      <c r="V79" s="4"/>
      <c r="W79" s="4"/>
      <c r="X79" s="4"/>
      <c r="Y79" s="50">
        <f t="shared" si="84"/>
        <v>0</v>
      </c>
      <c r="Z79" s="5">
        <f t="shared" si="74"/>
        <v>0</v>
      </c>
      <c r="AA79" s="5">
        <f t="shared" si="75"/>
        <v>0</v>
      </c>
      <c r="AE79" s="7"/>
      <c r="AG79" s="5">
        <f t="shared" ref="AG79:AG110" si="95">N79-AE79</f>
        <v>0</v>
      </c>
    </row>
    <row r="80" spans="1:36" s="6" customFormat="1" ht="57" customHeight="1" x14ac:dyDescent="0.25">
      <c r="A80" s="106"/>
      <c r="B80" s="97"/>
      <c r="C80" s="78" t="s">
        <v>75</v>
      </c>
      <c r="D80" s="78" t="s">
        <v>30</v>
      </c>
      <c r="E80" s="78" t="s">
        <v>12</v>
      </c>
      <c r="F80" s="78" t="s">
        <v>12</v>
      </c>
      <c r="G80" s="78" t="s">
        <v>12</v>
      </c>
      <c r="H80" s="78" t="s">
        <v>12</v>
      </c>
      <c r="I80" s="59">
        <f t="shared" ref="I80:I86" si="96">SUM(J80:R80)</f>
        <v>18037430.049999997</v>
      </c>
      <c r="J80" s="59">
        <f>1001346-555747.03</f>
        <v>445598.97</v>
      </c>
      <c r="K80" s="59">
        <v>0</v>
      </c>
      <c r="L80" s="59">
        <v>0</v>
      </c>
      <c r="M80" s="56">
        <v>0</v>
      </c>
      <c r="N80" s="56">
        <v>0</v>
      </c>
      <c r="O80" s="56">
        <v>17591831.079999998</v>
      </c>
      <c r="P80" s="56">
        <v>0</v>
      </c>
      <c r="Q80" s="56">
        <v>0</v>
      </c>
      <c r="R80" s="56">
        <v>0</v>
      </c>
      <c r="S80" s="5"/>
      <c r="T80" s="4">
        <v>0</v>
      </c>
      <c r="U80" s="5">
        <f t="shared" si="94"/>
        <v>0</v>
      </c>
      <c r="V80" s="4">
        <v>0</v>
      </c>
      <c r="W80" s="4">
        <v>0</v>
      </c>
      <c r="X80" s="4">
        <v>0</v>
      </c>
      <c r="Y80" s="50">
        <f t="shared" si="84"/>
        <v>17591831.079999998</v>
      </c>
      <c r="Z80" s="5">
        <f t="shared" si="74"/>
        <v>0</v>
      </c>
      <c r="AA80" s="5">
        <f t="shared" si="75"/>
        <v>0</v>
      </c>
      <c r="AE80" s="4">
        <v>0</v>
      </c>
      <c r="AG80" s="5">
        <f t="shared" si="95"/>
        <v>0</v>
      </c>
    </row>
    <row r="81" spans="1:35" s="6" customFormat="1" ht="53.25" customHeight="1" x14ac:dyDescent="0.25">
      <c r="A81" s="106"/>
      <c r="B81" s="97"/>
      <c r="C81" s="78" t="s">
        <v>31</v>
      </c>
      <c r="D81" s="78" t="s">
        <v>30</v>
      </c>
      <c r="E81" s="78" t="s">
        <v>12</v>
      </c>
      <c r="F81" s="78" t="s">
        <v>12</v>
      </c>
      <c r="G81" s="78" t="s">
        <v>12</v>
      </c>
      <c r="H81" s="78" t="s">
        <v>12</v>
      </c>
      <c r="I81" s="59">
        <f t="shared" si="96"/>
        <v>191718896.22</v>
      </c>
      <c r="J81" s="59">
        <f>5204154+555747.03</f>
        <v>5759901.0300000003</v>
      </c>
      <c r="K81" s="59">
        <f>5646400-72</f>
        <v>5646328</v>
      </c>
      <c r="L81" s="59">
        <v>8111483.2999999998</v>
      </c>
      <c r="M81" s="56">
        <v>11350284</v>
      </c>
      <c r="N81" s="56">
        <v>38541772.789999999</v>
      </c>
      <c r="O81" s="56">
        <v>23586546.949999999</v>
      </c>
      <c r="P81" s="56">
        <v>40868180.149999999</v>
      </c>
      <c r="Q81" s="56">
        <v>28927200</v>
      </c>
      <c r="R81" s="56">
        <v>28927200</v>
      </c>
      <c r="S81" s="5"/>
      <c r="T81" s="4">
        <v>38541772.789999999</v>
      </c>
      <c r="U81" s="5">
        <f t="shared" si="94"/>
        <v>0</v>
      </c>
      <c r="V81" s="41">
        <v>33282199.030000001</v>
      </c>
      <c r="W81" s="4">
        <v>32551958.460000001</v>
      </c>
      <c r="X81" s="4">
        <v>27238205.02</v>
      </c>
      <c r="Y81" s="50">
        <f t="shared" si="84"/>
        <v>-9695652.0800000019</v>
      </c>
      <c r="Z81" s="5">
        <f t="shared" si="74"/>
        <v>8316221.6899999976</v>
      </c>
      <c r="AA81" s="5">
        <f t="shared" si="75"/>
        <v>1688994.9800000004</v>
      </c>
      <c r="AE81" s="4">
        <v>38541772.789999999</v>
      </c>
      <c r="AG81" s="5">
        <f t="shared" si="95"/>
        <v>0</v>
      </c>
    </row>
    <row r="82" spans="1:35" s="6" customFormat="1" ht="76.5" customHeight="1" x14ac:dyDescent="0.25">
      <c r="A82" s="81">
        <v>28</v>
      </c>
      <c r="B82" s="78" t="s">
        <v>84</v>
      </c>
      <c r="C82" s="78" t="s">
        <v>78</v>
      </c>
      <c r="D82" s="78" t="s">
        <v>30</v>
      </c>
      <c r="E82" s="78" t="s">
        <v>12</v>
      </c>
      <c r="F82" s="78" t="s">
        <v>12</v>
      </c>
      <c r="G82" s="78" t="s">
        <v>12</v>
      </c>
      <c r="H82" s="78" t="s">
        <v>12</v>
      </c>
      <c r="I82" s="59">
        <f t="shared" si="96"/>
        <v>30000000</v>
      </c>
      <c r="J82" s="59">
        <v>0</v>
      </c>
      <c r="K82" s="59">
        <v>0</v>
      </c>
      <c r="L82" s="59">
        <v>0</v>
      </c>
      <c r="M82" s="56">
        <v>30000000</v>
      </c>
      <c r="N82" s="56">
        <v>0</v>
      </c>
      <c r="O82" s="56">
        <v>0</v>
      </c>
      <c r="P82" s="56">
        <v>0</v>
      </c>
      <c r="Q82" s="56">
        <v>0</v>
      </c>
      <c r="R82" s="56">
        <v>0</v>
      </c>
      <c r="S82" s="5"/>
      <c r="T82" s="4">
        <v>0</v>
      </c>
      <c r="U82" s="5">
        <f t="shared" si="94"/>
        <v>0</v>
      </c>
      <c r="V82" s="4">
        <v>0</v>
      </c>
      <c r="W82" s="4">
        <v>0</v>
      </c>
      <c r="X82" s="4">
        <v>0</v>
      </c>
      <c r="Y82" s="50">
        <f t="shared" si="84"/>
        <v>0</v>
      </c>
      <c r="Z82" s="5">
        <f t="shared" si="74"/>
        <v>0</v>
      </c>
      <c r="AA82" s="5">
        <f t="shared" si="75"/>
        <v>0</v>
      </c>
      <c r="AE82" s="4">
        <v>0</v>
      </c>
      <c r="AG82" s="5">
        <f t="shared" si="95"/>
        <v>0</v>
      </c>
    </row>
    <row r="83" spans="1:35" s="6" customFormat="1" ht="55.5" customHeight="1" x14ac:dyDescent="0.25">
      <c r="A83" s="81">
        <v>29</v>
      </c>
      <c r="B83" s="78" t="s">
        <v>79</v>
      </c>
      <c r="C83" s="78" t="s">
        <v>74</v>
      </c>
      <c r="D83" s="78" t="s">
        <v>8</v>
      </c>
      <c r="E83" s="78" t="s">
        <v>12</v>
      </c>
      <c r="F83" s="78" t="s">
        <v>12</v>
      </c>
      <c r="G83" s="78" t="s">
        <v>12</v>
      </c>
      <c r="H83" s="78" t="s">
        <v>12</v>
      </c>
      <c r="I83" s="59">
        <f t="shared" si="96"/>
        <v>596284147.61000001</v>
      </c>
      <c r="J83" s="59">
        <f>23483723.03+1410059.59+531231.86+1468768.14</f>
        <v>26893782.620000001</v>
      </c>
      <c r="K83" s="59">
        <f>37483723+1162254.44</f>
        <v>38645977.439999998</v>
      </c>
      <c r="L83" s="59">
        <v>61874237.659999996</v>
      </c>
      <c r="M83" s="56">
        <v>75321876</v>
      </c>
      <c r="N83" s="56">
        <v>78710937.730000004</v>
      </c>
      <c r="O83" s="56">
        <v>78381256.260000005</v>
      </c>
      <c r="P83" s="56">
        <v>78818693.299999997</v>
      </c>
      <c r="Q83" s="56">
        <v>78818693.299999997</v>
      </c>
      <c r="R83" s="56">
        <v>78818693.299999997</v>
      </c>
      <c r="S83" s="5"/>
      <c r="T83" s="4">
        <v>78710937.730000004</v>
      </c>
      <c r="U83" s="5">
        <f t="shared" si="94"/>
        <v>0</v>
      </c>
      <c r="V83" s="41">
        <v>78818693.299999997</v>
      </c>
      <c r="W83" s="4">
        <v>78818693.299999997</v>
      </c>
      <c r="X83" s="4">
        <v>78818693.299999997</v>
      </c>
      <c r="Y83" s="50">
        <f t="shared" si="84"/>
        <v>-437437.03999999166</v>
      </c>
      <c r="Z83" s="5">
        <f t="shared" si="74"/>
        <v>0</v>
      </c>
      <c r="AA83" s="5">
        <f t="shared" si="75"/>
        <v>0</v>
      </c>
      <c r="AE83" s="4">
        <v>78710937.730000004</v>
      </c>
      <c r="AG83" s="5">
        <f t="shared" si="95"/>
        <v>0</v>
      </c>
    </row>
    <row r="84" spans="1:35" s="6" customFormat="1" ht="77.25" customHeight="1" x14ac:dyDescent="0.25">
      <c r="A84" s="81">
        <v>30</v>
      </c>
      <c r="B84" s="82" t="s">
        <v>80</v>
      </c>
      <c r="C84" s="78" t="s">
        <v>74</v>
      </c>
      <c r="D84" s="78" t="s">
        <v>8</v>
      </c>
      <c r="E84" s="78" t="s">
        <v>12</v>
      </c>
      <c r="F84" s="78" t="s">
        <v>12</v>
      </c>
      <c r="G84" s="78" t="s">
        <v>12</v>
      </c>
      <c r="H84" s="78" t="s">
        <v>12</v>
      </c>
      <c r="I84" s="59">
        <f t="shared" si="96"/>
        <v>15902826.489999998</v>
      </c>
      <c r="J84" s="59">
        <f>3000000-982389.72</f>
        <v>2017610.28</v>
      </c>
      <c r="K84" s="59">
        <v>45000</v>
      </c>
      <c r="L84" s="59">
        <f>1000000+995000</f>
        <v>1995000</v>
      </c>
      <c r="M84" s="56">
        <v>1962167.62</v>
      </c>
      <c r="N84" s="56">
        <f>1021630.9+830000</f>
        <v>1851630.9</v>
      </c>
      <c r="O84" s="56">
        <f>874133.25+1039321.11</f>
        <v>1913454.3599999999</v>
      </c>
      <c r="P84" s="56">
        <v>2039321.11</v>
      </c>
      <c r="Q84" s="56">
        <v>2039321.11</v>
      </c>
      <c r="R84" s="56">
        <v>2039321.11</v>
      </c>
      <c r="S84" s="5">
        <v>1021630.9</v>
      </c>
      <c r="T84" s="4">
        <v>1994930.9</v>
      </c>
      <c r="U84" s="5">
        <f t="shared" si="94"/>
        <v>-143300</v>
      </c>
      <c r="V84" s="41">
        <v>2039321.11</v>
      </c>
      <c r="W84" s="4">
        <v>2039321.11</v>
      </c>
      <c r="X84" s="4">
        <v>2039321.11</v>
      </c>
      <c r="Y84" s="50">
        <f t="shared" si="84"/>
        <v>-125866.75000000023</v>
      </c>
      <c r="Z84" s="5">
        <f t="shared" si="74"/>
        <v>0</v>
      </c>
      <c r="AA84" s="5">
        <f t="shared" si="75"/>
        <v>0</v>
      </c>
      <c r="AE84" s="4">
        <f>1021630.9+830000</f>
        <v>1851630.9</v>
      </c>
      <c r="AG84" s="5">
        <f t="shared" si="95"/>
        <v>0</v>
      </c>
    </row>
    <row r="85" spans="1:35" s="6" customFormat="1" ht="68.25" customHeight="1" x14ac:dyDescent="0.25">
      <c r="A85" s="81">
        <v>31</v>
      </c>
      <c r="B85" s="63" t="s">
        <v>81</v>
      </c>
      <c r="C85" s="81" t="s">
        <v>75</v>
      </c>
      <c r="D85" s="64" t="s">
        <v>8</v>
      </c>
      <c r="E85" s="78" t="s">
        <v>12</v>
      </c>
      <c r="F85" s="78" t="s">
        <v>12</v>
      </c>
      <c r="G85" s="78" t="s">
        <v>12</v>
      </c>
      <c r="H85" s="78" t="s">
        <v>12</v>
      </c>
      <c r="I85" s="59">
        <f t="shared" si="96"/>
        <v>40053241.799999997</v>
      </c>
      <c r="J85" s="59">
        <v>0</v>
      </c>
      <c r="K85" s="59">
        <f>43246500-2722696.6-470561.6</f>
        <v>40053241.799999997</v>
      </c>
      <c r="L85" s="59">
        <v>0</v>
      </c>
      <c r="M85" s="56">
        <v>0</v>
      </c>
      <c r="N85" s="56">
        <v>0</v>
      </c>
      <c r="O85" s="56">
        <v>0</v>
      </c>
      <c r="P85" s="56">
        <v>0</v>
      </c>
      <c r="Q85" s="56">
        <v>0</v>
      </c>
      <c r="R85" s="56">
        <v>0</v>
      </c>
      <c r="S85" s="5"/>
      <c r="T85" s="4">
        <v>0</v>
      </c>
      <c r="U85" s="5">
        <f t="shared" si="94"/>
        <v>0</v>
      </c>
      <c r="V85" s="4">
        <v>0</v>
      </c>
      <c r="W85" s="4">
        <v>0</v>
      </c>
      <c r="X85" s="4">
        <v>0</v>
      </c>
      <c r="Y85" s="50">
        <f t="shared" si="84"/>
        <v>0</v>
      </c>
      <c r="Z85" s="5">
        <f t="shared" si="74"/>
        <v>0</v>
      </c>
      <c r="AA85" s="5">
        <f t="shared" si="75"/>
        <v>0</v>
      </c>
      <c r="AE85" s="4">
        <v>0</v>
      </c>
      <c r="AG85" s="5">
        <f t="shared" si="95"/>
        <v>0</v>
      </c>
    </row>
    <row r="86" spans="1:35" s="6" customFormat="1" ht="121.5" customHeight="1" x14ac:dyDescent="0.25">
      <c r="A86" s="81">
        <v>32</v>
      </c>
      <c r="B86" s="63" t="s">
        <v>85</v>
      </c>
      <c r="C86" s="65" t="s">
        <v>76</v>
      </c>
      <c r="D86" s="78" t="s">
        <v>8</v>
      </c>
      <c r="E86" s="78" t="s">
        <v>12</v>
      </c>
      <c r="F86" s="78" t="s">
        <v>12</v>
      </c>
      <c r="G86" s="78" t="s">
        <v>12</v>
      </c>
      <c r="H86" s="78" t="s">
        <v>12</v>
      </c>
      <c r="I86" s="59">
        <f t="shared" si="96"/>
        <v>95000</v>
      </c>
      <c r="J86" s="59">
        <v>0</v>
      </c>
      <c r="K86" s="59">
        <v>50000</v>
      </c>
      <c r="L86" s="59">
        <v>45000</v>
      </c>
      <c r="M86" s="56">
        <v>0</v>
      </c>
      <c r="N86" s="56">
        <v>0</v>
      </c>
      <c r="O86" s="56">
        <v>0</v>
      </c>
      <c r="P86" s="56">
        <v>0</v>
      </c>
      <c r="Q86" s="56">
        <v>0</v>
      </c>
      <c r="R86" s="56">
        <v>0</v>
      </c>
      <c r="S86" s="5"/>
      <c r="T86" s="4">
        <v>0</v>
      </c>
      <c r="U86" s="5">
        <f t="shared" si="94"/>
        <v>0</v>
      </c>
      <c r="V86" s="4">
        <v>0</v>
      </c>
      <c r="W86" s="4">
        <v>0</v>
      </c>
      <c r="X86" s="4">
        <v>0</v>
      </c>
      <c r="Y86" s="50">
        <f t="shared" si="84"/>
        <v>0</v>
      </c>
      <c r="Z86" s="5">
        <f t="shared" si="74"/>
        <v>0</v>
      </c>
      <c r="AA86" s="5">
        <f t="shared" si="75"/>
        <v>0</v>
      </c>
      <c r="AE86" s="4">
        <v>0</v>
      </c>
      <c r="AG86" s="5">
        <f t="shared" si="95"/>
        <v>0</v>
      </c>
    </row>
    <row r="87" spans="1:35" s="6" customFormat="1" ht="1.5" hidden="1" customHeight="1" x14ac:dyDescent="0.25">
      <c r="A87" s="81"/>
      <c r="B87" s="63" t="s">
        <v>63</v>
      </c>
      <c r="C87" s="66" t="s">
        <v>41</v>
      </c>
      <c r="D87" s="78" t="s">
        <v>8</v>
      </c>
      <c r="E87" s="78" t="s">
        <v>12</v>
      </c>
      <c r="F87" s="78" t="s">
        <v>12</v>
      </c>
      <c r="G87" s="78" t="s">
        <v>12</v>
      </c>
      <c r="H87" s="78" t="s">
        <v>12</v>
      </c>
      <c r="I87" s="59">
        <f t="shared" ref="I87" si="97">J87+K87+L87+M87+N87+O87+P87+R87</f>
        <v>0</v>
      </c>
      <c r="J87" s="59">
        <v>0</v>
      </c>
      <c r="K87" s="59">
        <v>0</v>
      </c>
      <c r="L87" s="59">
        <v>0</v>
      </c>
      <c r="M87" s="56">
        <v>0</v>
      </c>
      <c r="N87" s="61"/>
      <c r="O87" s="56"/>
      <c r="P87" s="56"/>
      <c r="Q87" s="56"/>
      <c r="R87" s="56"/>
      <c r="S87" s="5"/>
      <c r="T87" s="7"/>
      <c r="U87" s="5">
        <f t="shared" si="94"/>
        <v>0</v>
      </c>
      <c r="V87" s="4"/>
      <c r="W87" s="4"/>
      <c r="X87" s="4"/>
      <c r="Y87" s="50">
        <f t="shared" si="84"/>
        <v>0</v>
      </c>
      <c r="Z87" s="5">
        <f t="shared" si="74"/>
        <v>0</v>
      </c>
      <c r="AA87" s="5">
        <f t="shared" si="75"/>
        <v>0</v>
      </c>
      <c r="AE87" s="7"/>
      <c r="AG87" s="5">
        <f t="shared" si="95"/>
        <v>0</v>
      </c>
    </row>
    <row r="88" spans="1:35" s="6" customFormat="1" ht="85.5" customHeight="1" x14ac:dyDescent="0.25">
      <c r="A88" s="81">
        <v>33</v>
      </c>
      <c r="B88" s="63" t="s">
        <v>82</v>
      </c>
      <c r="C88" s="65" t="s">
        <v>40</v>
      </c>
      <c r="D88" s="78" t="s">
        <v>8</v>
      </c>
      <c r="E88" s="78" t="s">
        <v>12</v>
      </c>
      <c r="F88" s="78" t="s">
        <v>12</v>
      </c>
      <c r="G88" s="78" t="s">
        <v>12</v>
      </c>
      <c r="H88" s="78" t="s">
        <v>12</v>
      </c>
      <c r="I88" s="59">
        <f t="shared" ref="I88:I144" si="98">SUM(J88:R88)</f>
        <v>500000</v>
      </c>
      <c r="J88" s="59">
        <v>0</v>
      </c>
      <c r="K88" s="59">
        <v>500000</v>
      </c>
      <c r="L88" s="59">
        <v>0</v>
      </c>
      <c r="M88" s="56">
        <v>0</v>
      </c>
      <c r="N88" s="56">
        <v>0</v>
      </c>
      <c r="O88" s="56">
        <v>0</v>
      </c>
      <c r="P88" s="56">
        <v>0</v>
      </c>
      <c r="Q88" s="56">
        <v>0</v>
      </c>
      <c r="R88" s="56">
        <v>0</v>
      </c>
      <c r="S88" s="5"/>
      <c r="T88" s="4">
        <v>0</v>
      </c>
      <c r="U88" s="5">
        <f t="shared" si="94"/>
        <v>0</v>
      </c>
      <c r="V88" s="4">
        <v>0</v>
      </c>
      <c r="W88" s="4">
        <v>0</v>
      </c>
      <c r="X88" s="4">
        <v>0</v>
      </c>
      <c r="Y88" s="50">
        <f t="shared" si="84"/>
        <v>0</v>
      </c>
      <c r="Z88" s="5">
        <f t="shared" si="74"/>
        <v>0</v>
      </c>
      <c r="AA88" s="5">
        <f t="shared" si="75"/>
        <v>0</v>
      </c>
      <c r="AE88" s="4">
        <v>0</v>
      </c>
      <c r="AG88" s="5">
        <f t="shared" si="95"/>
        <v>0</v>
      </c>
    </row>
    <row r="89" spans="1:35" s="6" customFormat="1" ht="42" customHeight="1" x14ac:dyDescent="0.25">
      <c r="A89" s="98">
        <v>34</v>
      </c>
      <c r="B89" s="120" t="s">
        <v>86</v>
      </c>
      <c r="C89" s="65" t="s">
        <v>91</v>
      </c>
      <c r="D89" s="101" t="s">
        <v>8</v>
      </c>
      <c r="E89" s="78" t="s">
        <v>12</v>
      </c>
      <c r="F89" s="78" t="s">
        <v>12</v>
      </c>
      <c r="G89" s="78" t="s">
        <v>12</v>
      </c>
      <c r="H89" s="78" t="s">
        <v>12</v>
      </c>
      <c r="I89" s="59">
        <f t="shared" si="98"/>
        <v>112446511.11</v>
      </c>
      <c r="J89" s="59">
        <v>0</v>
      </c>
      <c r="K89" s="59">
        <v>0</v>
      </c>
      <c r="L89" s="59">
        <f>SUM(L90:L93)</f>
        <v>12722372.5</v>
      </c>
      <c r="M89" s="59">
        <f t="shared" ref="M89:R89" si="99">SUM(M90:M94)</f>
        <v>19285421.34</v>
      </c>
      <c r="N89" s="59">
        <f t="shared" si="99"/>
        <v>8348221.54</v>
      </c>
      <c r="O89" s="59">
        <f t="shared" si="99"/>
        <v>18714495.73</v>
      </c>
      <c r="P89" s="59">
        <f t="shared" si="99"/>
        <v>17792000</v>
      </c>
      <c r="Q89" s="59">
        <f t="shared" si="99"/>
        <v>17792000</v>
      </c>
      <c r="R89" s="59">
        <f t="shared" si="99"/>
        <v>17792000</v>
      </c>
      <c r="S89" s="5" t="s">
        <v>103</v>
      </c>
      <c r="T89" s="1">
        <f>SUM(T90:T94)</f>
        <v>15752302.18</v>
      </c>
      <c r="U89" s="5">
        <f t="shared" si="94"/>
        <v>-7404080.6399999997</v>
      </c>
      <c r="V89" s="1">
        <f>SUM(V90:V94)</f>
        <v>15372000</v>
      </c>
      <c r="W89" s="1">
        <f>SUM(W90:W94)</f>
        <v>12634000</v>
      </c>
      <c r="X89" s="1">
        <f>SUM(X90:X94)</f>
        <v>12634000</v>
      </c>
      <c r="Y89" s="50">
        <f t="shared" si="84"/>
        <v>3342495.7300000004</v>
      </c>
      <c r="Z89" s="5">
        <f t="shared" si="74"/>
        <v>5158000</v>
      </c>
      <c r="AA89" s="5">
        <f t="shared" si="75"/>
        <v>5158000</v>
      </c>
      <c r="AE89" s="1">
        <f>SUM(AE90:AE94)</f>
        <v>8348221.54</v>
      </c>
      <c r="AG89" s="5">
        <f t="shared" si="95"/>
        <v>0</v>
      </c>
    </row>
    <row r="90" spans="1:35" s="6" customFormat="1" ht="42.75" customHeight="1" x14ac:dyDescent="0.25">
      <c r="A90" s="99"/>
      <c r="B90" s="121"/>
      <c r="C90" s="65" t="s">
        <v>41</v>
      </c>
      <c r="D90" s="113"/>
      <c r="E90" s="78" t="s">
        <v>12</v>
      </c>
      <c r="F90" s="78" t="s">
        <v>12</v>
      </c>
      <c r="G90" s="78" t="s">
        <v>12</v>
      </c>
      <c r="H90" s="78" t="s">
        <v>12</v>
      </c>
      <c r="I90" s="59">
        <f t="shared" si="98"/>
        <v>19273269.490000002</v>
      </c>
      <c r="J90" s="59">
        <v>0</v>
      </c>
      <c r="K90" s="59">
        <v>0</v>
      </c>
      <c r="L90" s="59">
        <f>3178000-208000-1097.44</f>
        <v>2968902.56</v>
      </c>
      <c r="M90" s="56">
        <f>4950000-537253.8</f>
        <v>4412746.2</v>
      </c>
      <c r="N90" s="56">
        <v>0</v>
      </c>
      <c r="O90" s="59">
        <v>3677620.73</v>
      </c>
      <c r="P90" s="56">
        <v>2738000</v>
      </c>
      <c r="Q90" s="56">
        <v>2738000</v>
      </c>
      <c r="R90" s="56">
        <v>2738000</v>
      </c>
      <c r="S90" s="5"/>
      <c r="T90" s="4">
        <v>3140000</v>
      </c>
      <c r="U90" s="5">
        <f t="shared" si="94"/>
        <v>-3140000</v>
      </c>
      <c r="V90" s="41">
        <v>2738000</v>
      </c>
      <c r="W90" s="4">
        <v>0</v>
      </c>
      <c r="X90" s="4">
        <v>0</v>
      </c>
      <c r="Y90" s="50">
        <f t="shared" si="84"/>
        <v>939620.73</v>
      </c>
      <c r="Z90" s="5">
        <f t="shared" si="74"/>
        <v>2738000</v>
      </c>
      <c r="AA90" s="5">
        <f t="shared" si="75"/>
        <v>2738000</v>
      </c>
      <c r="AE90" s="4">
        <v>0</v>
      </c>
      <c r="AG90" s="5">
        <f t="shared" si="95"/>
        <v>0</v>
      </c>
      <c r="AI90" s="5">
        <f>SUM(O90:O93)</f>
        <v>17214495.73</v>
      </c>
    </row>
    <row r="91" spans="1:35" s="6" customFormat="1" ht="42.75" customHeight="1" x14ac:dyDescent="0.25">
      <c r="A91" s="99"/>
      <c r="B91" s="121"/>
      <c r="C91" s="65" t="s">
        <v>96</v>
      </c>
      <c r="D91" s="113"/>
      <c r="E91" s="78" t="s">
        <v>12</v>
      </c>
      <c r="F91" s="78" t="s">
        <v>12</v>
      </c>
      <c r="G91" s="78" t="s">
        <v>12</v>
      </c>
      <c r="H91" s="78" t="s">
        <v>12</v>
      </c>
      <c r="I91" s="59">
        <f t="shared" si="98"/>
        <v>37644907.810000002</v>
      </c>
      <c r="J91" s="59">
        <v>0</v>
      </c>
      <c r="K91" s="59">
        <v>0</v>
      </c>
      <c r="L91" s="59">
        <v>5693965.7800000003</v>
      </c>
      <c r="M91" s="59">
        <f>6850000-980000+165000-839016.36</f>
        <v>5195983.6399999997</v>
      </c>
      <c r="N91" s="56">
        <v>3680125.3</v>
      </c>
      <c r="O91" s="56">
        <v>5464833.0899999999</v>
      </c>
      <c r="P91" s="56">
        <v>5870000</v>
      </c>
      <c r="Q91" s="56">
        <v>5870000</v>
      </c>
      <c r="R91" s="56">
        <v>5870000</v>
      </c>
      <c r="S91" s="5"/>
      <c r="T91" s="4">
        <v>5870000</v>
      </c>
      <c r="U91" s="5">
        <f t="shared" si="94"/>
        <v>-2189874.7000000002</v>
      </c>
      <c r="V91" s="41">
        <v>5870000</v>
      </c>
      <c r="W91" s="4">
        <v>5870000</v>
      </c>
      <c r="X91" s="4">
        <v>5870000</v>
      </c>
      <c r="Y91" s="50">
        <f t="shared" si="84"/>
        <v>-405166.91000000015</v>
      </c>
      <c r="Z91" s="5">
        <f t="shared" si="74"/>
        <v>0</v>
      </c>
      <c r="AA91" s="5">
        <f t="shared" si="75"/>
        <v>0</v>
      </c>
      <c r="AE91" s="4">
        <v>3680125.3</v>
      </c>
      <c r="AG91" s="5">
        <f t="shared" si="95"/>
        <v>0</v>
      </c>
    </row>
    <row r="92" spans="1:35" s="6" customFormat="1" ht="42.75" customHeight="1" x14ac:dyDescent="0.25">
      <c r="A92" s="99"/>
      <c r="B92" s="121"/>
      <c r="C92" s="65" t="s">
        <v>97</v>
      </c>
      <c r="D92" s="113"/>
      <c r="E92" s="78" t="s">
        <v>12</v>
      </c>
      <c r="F92" s="78" t="s">
        <v>12</v>
      </c>
      <c r="G92" s="78" t="s">
        <v>12</v>
      </c>
      <c r="H92" s="78" t="s">
        <v>12</v>
      </c>
      <c r="I92" s="59">
        <f t="shared" si="98"/>
        <v>29416250.390000001</v>
      </c>
      <c r="J92" s="59">
        <v>0</v>
      </c>
      <c r="K92" s="59">
        <v>0</v>
      </c>
      <c r="L92" s="59">
        <v>2313950.5099999998</v>
      </c>
      <c r="M92" s="56">
        <f>2980000+1201500-21452.19</f>
        <v>4160047.81</v>
      </c>
      <c r="N92" s="56">
        <v>2015225.49</v>
      </c>
      <c r="O92" s="56">
        <v>5027026.58</v>
      </c>
      <c r="P92" s="56">
        <v>5300000</v>
      </c>
      <c r="Q92" s="56">
        <v>5300000</v>
      </c>
      <c r="R92" s="56">
        <v>5300000</v>
      </c>
      <c r="S92" s="5"/>
      <c r="T92" s="4">
        <v>2980000</v>
      </c>
      <c r="U92" s="5">
        <f t="shared" si="94"/>
        <v>-964774.51</v>
      </c>
      <c r="V92" s="41">
        <v>2380000</v>
      </c>
      <c r="W92" s="4">
        <v>2380000</v>
      </c>
      <c r="X92" s="4">
        <v>2380000</v>
      </c>
      <c r="Y92" s="50">
        <f t="shared" si="84"/>
        <v>2647026.58</v>
      </c>
      <c r="Z92" s="5">
        <f t="shared" si="74"/>
        <v>2920000</v>
      </c>
      <c r="AA92" s="5">
        <f t="shared" si="75"/>
        <v>2920000</v>
      </c>
      <c r="AE92" s="4">
        <v>2015225.49</v>
      </c>
      <c r="AG92" s="5">
        <f t="shared" si="95"/>
        <v>0</v>
      </c>
    </row>
    <row r="93" spans="1:35" s="6" customFormat="1" ht="42.75" customHeight="1" x14ac:dyDescent="0.25">
      <c r="A93" s="99"/>
      <c r="B93" s="121"/>
      <c r="C93" s="65" t="s">
        <v>98</v>
      </c>
      <c r="D93" s="113"/>
      <c r="E93" s="78" t="s">
        <v>12</v>
      </c>
      <c r="F93" s="78" t="s">
        <v>12</v>
      </c>
      <c r="G93" s="78" t="s">
        <v>12</v>
      </c>
      <c r="H93" s="78" t="s">
        <v>12</v>
      </c>
      <c r="I93" s="59">
        <f t="shared" si="98"/>
        <v>18043643.460000001</v>
      </c>
      <c r="J93" s="59">
        <v>0</v>
      </c>
      <c r="K93" s="59">
        <v>0</v>
      </c>
      <c r="L93" s="59">
        <v>1745553.65</v>
      </c>
      <c r="M93" s="59">
        <f>3510000-61796.27</f>
        <v>3448203.73</v>
      </c>
      <c r="N93" s="59">
        <v>1152870.75</v>
      </c>
      <c r="O93" s="59">
        <v>3045015.33</v>
      </c>
      <c r="P93" s="56">
        <v>2884000</v>
      </c>
      <c r="Q93" s="56">
        <v>2884000</v>
      </c>
      <c r="R93" s="56">
        <v>2884000</v>
      </c>
      <c r="S93" s="5"/>
      <c r="T93" s="1">
        <v>2262302.1800000002</v>
      </c>
      <c r="U93" s="5">
        <f t="shared" si="94"/>
        <v>-1109431.4300000002</v>
      </c>
      <c r="V93" s="43">
        <f>2884000</f>
        <v>2884000</v>
      </c>
      <c r="W93" s="4">
        <v>2884000</v>
      </c>
      <c r="X93" s="4">
        <v>2884000</v>
      </c>
      <c r="Y93" s="50">
        <f t="shared" si="84"/>
        <v>161015.33000000007</v>
      </c>
      <c r="Z93" s="5">
        <f t="shared" si="74"/>
        <v>0</v>
      </c>
      <c r="AA93" s="5">
        <f t="shared" si="75"/>
        <v>0</v>
      </c>
      <c r="AE93" s="1">
        <v>1152870.75</v>
      </c>
      <c r="AG93" s="5">
        <f t="shared" si="95"/>
        <v>0</v>
      </c>
    </row>
    <row r="94" spans="1:35" s="6" customFormat="1" ht="57" customHeight="1" x14ac:dyDescent="0.25">
      <c r="A94" s="100"/>
      <c r="B94" s="122"/>
      <c r="C94" s="65" t="s">
        <v>90</v>
      </c>
      <c r="D94" s="102"/>
      <c r="E94" s="78" t="s">
        <v>12</v>
      </c>
      <c r="F94" s="78" t="s">
        <v>12</v>
      </c>
      <c r="G94" s="78" t="s">
        <v>12</v>
      </c>
      <c r="H94" s="78" t="s">
        <v>47</v>
      </c>
      <c r="I94" s="59">
        <f t="shared" si="98"/>
        <v>9746439.9600000009</v>
      </c>
      <c r="J94" s="59">
        <v>0</v>
      </c>
      <c r="K94" s="59">
        <v>0</v>
      </c>
      <c r="L94" s="59">
        <f>980000+100000+208000+390000</f>
        <v>1678000</v>
      </c>
      <c r="M94" s="56">
        <v>2068439.96</v>
      </c>
      <c r="N94" s="56">
        <v>1500000</v>
      </c>
      <c r="O94" s="56">
        <v>1500000</v>
      </c>
      <c r="P94" s="56">
        <v>1000000</v>
      </c>
      <c r="Q94" s="56">
        <v>1000000</v>
      </c>
      <c r="R94" s="56">
        <v>1000000</v>
      </c>
      <c r="S94" s="5"/>
      <c r="T94" s="4">
        <v>1500000</v>
      </c>
      <c r="U94" s="5">
        <f t="shared" si="94"/>
        <v>0</v>
      </c>
      <c r="V94" s="41">
        <v>1500000</v>
      </c>
      <c r="W94" s="4">
        <v>1500000</v>
      </c>
      <c r="X94" s="4">
        <v>1500000</v>
      </c>
      <c r="Y94" s="50">
        <f t="shared" si="84"/>
        <v>0</v>
      </c>
      <c r="Z94" s="5">
        <f t="shared" si="74"/>
        <v>-500000</v>
      </c>
      <c r="AA94" s="5">
        <f t="shared" si="75"/>
        <v>-500000</v>
      </c>
      <c r="AE94" s="4">
        <v>1500000</v>
      </c>
      <c r="AG94" s="5">
        <f t="shared" si="95"/>
        <v>0</v>
      </c>
    </row>
    <row r="95" spans="1:35" s="6" customFormat="1" ht="50.25" customHeight="1" x14ac:dyDescent="0.25">
      <c r="A95" s="132">
        <v>35</v>
      </c>
      <c r="B95" s="120" t="s">
        <v>83</v>
      </c>
      <c r="C95" s="78" t="s">
        <v>49</v>
      </c>
      <c r="D95" s="101" t="s">
        <v>8</v>
      </c>
      <c r="E95" s="78" t="s">
        <v>12</v>
      </c>
      <c r="F95" s="78" t="s">
        <v>12</v>
      </c>
      <c r="G95" s="78" t="s">
        <v>12</v>
      </c>
      <c r="H95" s="78" t="s">
        <v>12</v>
      </c>
      <c r="I95" s="59">
        <f t="shared" si="98"/>
        <v>33198651.48</v>
      </c>
      <c r="J95" s="59">
        <v>0</v>
      </c>
      <c r="K95" s="59">
        <v>0</v>
      </c>
      <c r="L95" s="59">
        <v>0</v>
      </c>
      <c r="M95" s="56">
        <f t="shared" ref="M95:R95" si="100">M96+M97+M99+M98</f>
        <v>8032917.1000000006</v>
      </c>
      <c r="N95" s="56">
        <f t="shared" si="100"/>
        <v>2108157.85</v>
      </c>
      <c r="O95" s="56">
        <f t="shared" si="100"/>
        <v>2703056.5300000003</v>
      </c>
      <c r="P95" s="56">
        <f t="shared" si="100"/>
        <v>6784840</v>
      </c>
      <c r="Q95" s="56">
        <f t="shared" si="100"/>
        <v>6784840</v>
      </c>
      <c r="R95" s="56">
        <f t="shared" si="100"/>
        <v>6784840</v>
      </c>
      <c r="S95" s="5"/>
      <c r="T95" s="4">
        <f>T96+T97+T99+T98</f>
        <v>2584625</v>
      </c>
      <c r="U95" s="5">
        <f t="shared" si="94"/>
        <v>-476467.14999999991</v>
      </c>
      <c r="V95" s="41">
        <f>V96+V97+V99+V98</f>
        <v>6993533</v>
      </c>
      <c r="W95" s="4">
        <f>W96+W97+W99+W98</f>
        <v>5970500</v>
      </c>
      <c r="X95" s="4">
        <f>X96+X97+X99+X98</f>
        <v>5970500</v>
      </c>
      <c r="Y95" s="50">
        <f t="shared" si="84"/>
        <v>-4290476.47</v>
      </c>
      <c r="Z95" s="5">
        <f t="shared" si="74"/>
        <v>814340</v>
      </c>
      <c r="AA95" s="5">
        <f t="shared" si="75"/>
        <v>814340</v>
      </c>
      <c r="AE95" s="4">
        <f>AE96+AE97+AE99+AE98</f>
        <v>2108157.85</v>
      </c>
      <c r="AG95" s="5">
        <f t="shared" si="95"/>
        <v>0</v>
      </c>
    </row>
    <row r="96" spans="1:35" s="6" customFormat="1" ht="40.5" customHeight="1" x14ac:dyDescent="0.25">
      <c r="A96" s="133"/>
      <c r="B96" s="121"/>
      <c r="C96" s="65" t="s">
        <v>19</v>
      </c>
      <c r="D96" s="113"/>
      <c r="E96" s="78" t="s">
        <v>12</v>
      </c>
      <c r="F96" s="78" t="s">
        <v>12</v>
      </c>
      <c r="G96" s="78" t="s">
        <v>12</v>
      </c>
      <c r="H96" s="78" t="s">
        <v>12</v>
      </c>
      <c r="I96" s="59">
        <f t="shared" si="98"/>
        <v>7399870.5099999998</v>
      </c>
      <c r="J96" s="59">
        <v>0</v>
      </c>
      <c r="K96" s="59">
        <v>0</v>
      </c>
      <c r="L96" s="59">
        <v>0</v>
      </c>
      <c r="M96" s="56">
        <f>2000000-7063.38</f>
        <v>1992936.62</v>
      </c>
      <c r="N96" s="56">
        <f>272033-3435.81</f>
        <v>268597.19</v>
      </c>
      <c r="O96" s="56">
        <v>370568.7</v>
      </c>
      <c r="P96" s="56">
        <v>1589256</v>
      </c>
      <c r="Q96" s="56">
        <v>1589256</v>
      </c>
      <c r="R96" s="56">
        <v>1589256</v>
      </c>
      <c r="S96" s="5"/>
      <c r="T96" s="4">
        <v>272033</v>
      </c>
      <c r="U96" s="5">
        <f t="shared" si="94"/>
        <v>-3435.8099999999977</v>
      </c>
      <c r="V96" s="41">
        <v>272033</v>
      </c>
      <c r="W96" s="4">
        <v>2000000</v>
      </c>
      <c r="X96" s="4">
        <v>2000000</v>
      </c>
      <c r="Y96" s="50">
        <f t="shared" si="84"/>
        <v>98535.700000000012</v>
      </c>
      <c r="Z96" s="5">
        <f t="shared" ref="Z96:Z127" si="101">P96-W96</f>
        <v>-410744</v>
      </c>
      <c r="AA96" s="5">
        <f t="shared" ref="AA96:AA127" si="102">R96-X96</f>
        <v>-410744</v>
      </c>
      <c r="AE96" s="4">
        <f>272033-3435.81</f>
        <v>268597.19</v>
      </c>
      <c r="AG96" s="5">
        <f t="shared" si="95"/>
        <v>0</v>
      </c>
    </row>
    <row r="97" spans="1:33" s="6" customFormat="1" ht="40.5" customHeight="1" x14ac:dyDescent="0.25">
      <c r="A97" s="133"/>
      <c r="B97" s="121"/>
      <c r="C97" s="65" t="s">
        <v>20</v>
      </c>
      <c r="D97" s="113"/>
      <c r="E97" s="78" t="s">
        <v>12</v>
      </c>
      <c r="F97" s="78" t="s">
        <v>12</v>
      </c>
      <c r="G97" s="78" t="s">
        <v>12</v>
      </c>
      <c r="H97" s="78" t="s">
        <v>12</v>
      </c>
      <c r="I97" s="59">
        <f t="shared" si="98"/>
        <v>5833156.29</v>
      </c>
      <c r="J97" s="59">
        <v>0</v>
      </c>
      <c r="K97" s="59">
        <v>0</v>
      </c>
      <c r="L97" s="59">
        <v>0</v>
      </c>
      <c r="M97" s="56">
        <f>1300000-136264.12</f>
        <v>1163735.8799999999</v>
      </c>
      <c r="N97" s="56">
        <v>550307.54</v>
      </c>
      <c r="O97" s="56">
        <v>1762360.87</v>
      </c>
      <c r="P97" s="56">
        <v>785584</v>
      </c>
      <c r="Q97" s="56">
        <v>785584</v>
      </c>
      <c r="R97" s="56">
        <v>785584</v>
      </c>
      <c r="S97" s="5"/>
      <c r="T97" s="4">
        <v>1022592</v>
      </c>
      <c r="U97" s="5">
        <f t="shared" si="94"/>
        <v>-472284.45999999996</v>
      </c>
      <c r="V97" s="41">
        <v>1870500</v>
      </c>
      <c r="W97" s="4">
        <v>1870500</v>
      </c>
      <c r="X97" s="4">
        <v>1870500</v>
      </c>
      <c r="Y97" s="50">
        <f t="shared" ref="Y97:Y128" si="103">O97-V97</f>
        <v>-108139.12999999989</v>
      </c>
      <c r="Z97" s="5">
        <f t="shared" si="101"/>
        <v>-1084916</v>
      </c>
      <c r="AA97" s="5">
        <f t="shared" si="102"/>
        <v>-1084916</v>
      </c>
      <c r="AE97" s="4">
        <v>550307.54</v>
      </c>
      <c r="AG97" s="5">
        <f t="shared" si="95"/>
        <v>0</v>
      </c>
    </row>
    <row r="98" spans="1:33" s="6" customFormat="1" ht="40.5" customHeight="1" x14ac:dyDescent="0.25">
      <c r="A98" s="133"/>
      <c r="B98" s="121"/>
      <c r="C98" s="65" t="s">
        <v>41</v>
      </c>
      <c r="D98" s="113"/>
      <c r="E98" s="78" t="s">
        <v>12</v>
      </c>
      <c r="F98" s="78" t="s">
        <v>12</v>
      </c>
      <c r="G98" s="78" t="s">
        <v>12</v>
      </c>
      <c r="H98" s="78" t="s">
        <v>12</v>
      </c>
      <c r="I98" s="59">
        <f t="shared" si="98"/>
        <v>9723607.1999999993</v>
      </c>
      <c r="J98" s="59">
        <v>0</v>
      </c>
      <c r="K98" s="59">
        <v>0</v>
      </c>
      <c r="L98" s="59">
        <v>0</v>
      </c>
      <c r="M98" s="56">
        <f>2800000-6392.8</f>
        <v>2793607.2</v>
      </c>
      <c r="N98" s="56">
        <v>0</v>
      </c>
      <c r="O98" s="56">
        <v>0</v>
      </c>
      <c r="P98" s="56">
        <v>2310000</v>
      </c>
      <c r="Q98" s="56">
        <v>2310000</v>
      </c>
      <c r="R98" s="56">
        <v>2310000</v>
      </c>
      <c r="S98" s="5"/>
      <c r="T98" s="4">
        <v>0</v>
      </c>
      <c r="U98" s="5">
        <f t="shared" si="94"/>
        <v>0</v>
      </c>
      <c r="V98" s="41">
        <v>2751000</v>
      </c>
      <c r="W98" s="4">
        <v>0</v>
      </c>
      <c r="X98" s="4">
        <v>0</v>
      </c>
      <c r="Y98" s="50">
        <f t="shared" si="103"/>
        <v>-2751000</v>
      </c>
      <c r="Z98" s="5">
        <f t="shared" si="101"/>
        <v>2310000</v>
      </c>
      <c r="AA98" s="5">
        <f t="shared" si="102"/>
        <v>2310000</v>
      </c>
      <c r="AE98" s="4">
        <v>0</v>
      </c>
      <c r="AG98" s="5">
        <f t="shared" si="95"/>
        <v>0</v>
      </c>
    </row>
    <row r="99" spans="1:33" s="6" customFormat="1" ht="40.5" customHeight="1" x14ac:dyDescent="0.25">
      <c r="A99" s="134"/>
      <c r="B99" s="122"/>
      <c r="C99" s="65" t="s">
        <v>17</v>
      </c>
      <c r="D99" s="102"/>
      <c r="E99" s="78" t="s">
        <v>12</v>
      </c>
      <c r="F99" s="78" t="s">
        <v>12</v>
      </c>
      <c r="G99" s="78" t="s">
        <v>12</v>
      </c>
      <c r="H99" s="78" t="s">
        <v>12</v>
      </c>
      <c r="I99" s="59">
        <f t="shared" si="98"/>
        <v>10242017.48</v>
      </c>
      <c r="J99" s="59">
        <v>0</v>
      </c>
      <c r="K99" s="59">
        <v>0</v>
      </c>
      <c r="L99" s="59">
        <v>0</v>
      </c>
      <c r="M99" s="56">
        <f>2100000-17362.6</f>
        <v>2082637.4</v>
      </c>
      <c r="N99" s="56">
        <v>1289253.1200000001</v>
      </c>
      <c r="O99" s="56">
        <v>570126.96</v>
      </c>
      <c r="P99" s="56">
        <v>2100000</v>
      </c>
      <c r="Q99" s="56">
        <v>2100000</v>
      </c>
      <c r="R99" s="56">
        <v>2100000</v>
      </c>
      <c r="S99" s="5"/>
      <c r="T99" s="4">
        <v>1290000</v>
      </c>
      <c r="U99" s="5">
        <f t="shared" si="94"/>
        <v>-746.87999999988824</v>
      </c>
      <c r="V99" s="41">
        <v>2100000</v>
      </c>
      <c r="W99" s="4">
        <v>2100000</v>
      </c>
      <c r="X99" s="4">
        <v>2100000</v>
      </c>
      <c r="Y99" s="50">
        <f t="shared" si="103"/>
        <v>-1529873.04</v>
      </c>
      <c r="Z99" s="5">
        <f t="shared" si="101"/>
        <v>0</v>
      </c>
      <c r="AA99" s="5">
        <f t="shared" si="102"/>
        <v>0</v>
      </c>
      <c r="AE99" s="4">
        <v>1289253.1200000001</v>
      </c>
      <c r="AG99" s="5">
        <f t="shared" si="95"/>
        <v>0</v>
      </c>
    </row>
    <row r="100" spans="1:33" s="6" customFormat="1" ht="48" customHeight="1" x14ac:dyDescent="0.25">
      <c r="A100" s="106">
        <v>36</v>
      </c>
      <c r="B100" s="107" t="s">
        <v>64</v>
      </c>
      <c r="C100" s="78" t="s">
        <v>49</v>
      </c>
      <c r="D100" s="78" t="s">
        <v>8</v>
      </c>
      <c r="E100" s="78" t="s">
        <v>12</v>
      </c>
      <c r="F100" s="78" t="s">
        <v>12</v>
      </c>
      <c r="G100" s="78" t="s">
        <v>12</v>
      </c>
      <c r="H100" s="78" t="s">
        <v>12</v>
      </c>
      <c r="I100" s="59">
        <f t="shared" si="98"/>
        <v>8430432.1199999992</v>
      </c>
      <c r="J100" s="59">
        <f>J101+J102+J104</f>
        <v>505600</v>
      </c>
      <c r="K100" s="59">
        <f>K101+K102+K104</f>
        <v>714169</v>
      </c>
      <c r="L100" s="59">
        <f>L105</f>
        <v>597927.74</v>
      </c>
      <c r="M100" s="59">
        <f>M105</f>
        <v>872530.56</v>
      </c>
      <c r="N100" s="59">
        <f>SUM(N101:N104)</f>
        <v>977147.97</v>
      </c>
      <c r="O100" s="59">
        <f>SUM(O101:O104)</f>
        <v>1231657.8500000001</v>
      </c>
      <c r="P100" s="59">
        <f>SUM(P101:P104)</f>
        <v>1177133</v>
      </c>
      <c r="Q100" s="59">
        <f>SUM(Q101:Q104)</f>
        <v>1177133</v>
      </c>
      <c r="R100" s="59">
        <f>SUM(R101:R104)</f>
        <v>1177133</v>
      </c>
      <c r="S100" s="5"/>
      <c r="T100" s="1">
        <f>SUM(T101:T104)</f>
        <v>1177133</v>
      </c>
      <c r="U100" s="5">
        <f t="shared" si="94"/>
        <v>-199985.03000000003</v>
      </c>
      <c r="V100" s="1">
        <f>SUM(V101:V104)</f>
        <v>1177133</v>
      </c>
      <c r="W100" s="1">
        <f>SUM(W101:W104)</f>
        <v>1177133</v>
      </c>
      <c r="X100" s="1">
        <f>SUM(X101:X104)</f>
        <v>1177133</v>
      </c>
      <c r="Y100" s="50">
        <f t="shared" si="103"/>
        <v>54524.850000000093</v>
      </c>
      <c r="Z100" s="5">
        <f t="shared" si="101"/>
        <v>0</v>
      </c>
      <c r="AA100" s="5">
        <f t="shared" si="102"/>
        <v>0</v>
      </c>
      <c r="AE100" s="1">
        <f>SUM(AE101:AE104)</f>
        <v>977147.97</v>
      </c>
      <c r="AG100" s="5">
        <f t="shared" si="95"/>
        <v>0</v>
      </c>
    </row>
    <row r="101" spans="1:33" s="6" customFormat="1" ht="48" customHeight="1" x14ac:dyDescent="0.25">
      <c r="A101" s="106"/>
      <c r="B101" s="107"/>
      <c r="C101" s="78" t="s">
        <v>19</v>
      </c>
      <c r="D101" s="78" t="s">
        <v>8</v>
      </c>
      <c r="E101" s="78" t="s">
        <v>12</v>
      </c>
      <c r="F101" s="78" t="s">
        <v>12</v>
      </c>
      <c r="G101" s="78" t="s">
        <v>12</v>
      </c>
      <c r="H101" s="78" t="s">
        <v>12</v>
      </c>
      <c r="I101" s="59">
        <f t="shared" si="98"/>
        <v>808438</v>
      </c>
      <c r="J101" s="59">
        <f t="shared" ref="J101:R101" si="104">J107</f>
        <v>52000</v>
      </c>
      <c r="K101" s="62">
        <f t="shared" si="104"/>
        <v>182000</v>
      </c>
      <c r="L101" s="62">
        <f t="shared" si="104"/>
        <v>82073</v>
      </c>
      <c r="M101" s="62">
        <f t="shared" si="104"/>
        <v>82073</v>
      </c>
      <c r="N101" s="62">
        <f t="shared" si="104"/>
        <v>82073</v>
      </c>
      <c r="O101" s="62">
        <f t="shared" si="104"/>
        <v>82000</v>
      </c>
      <c r="P101" s="62">
        <f t="shared" si="104"/>
        <v>82073</v>
      </c>
      <c r="Q101" s="62">
        <f t="shared" ref="Q101" si="105">Q107</f>
        <v>82073</v>
      </c>
      <c r="R101" s="62">
        <f t="shared" si="104"/>
        <v>82073</v>
      </c>
      <c r="S101" s="5"/>
      <c r="T101" s="2">
        <f>T107</f>
        <v>82073</v>
      </c>
      <c r="U101" s="5">
        <f t="shared" si="94"/>
        <v>0</v>
      </c>
      <c r="V101" s="2">
        <f t="shared" ref="V101" si="106">V107</f>
        <v>82073</v>
      </c>
      <c r="W101" s="2">
        <f t="shared" ref="W101:X101" si="107">W107</f>
        <v>82073</v>
      </c>
      <c r="X101" s="2">
        <f t="shared" si="107"/>
        <v>82073</v>
      </c>
      <c r="Y101" s="50">
        <f t="shared" si="103"/>
        <v>-73</v>
      </c>
      <c r="Z101" s="5">
        <f t="shared" si="101"/>
        <v>0</v>
      </c>
      <c r="AA101" s="5">
        <f t="shared" si="102"/>
        <v>0</v>
      </c>
      <c r="AE101" s="2">
        <f t="shared" ref="AE101" si="108">AE107</f>
        <v>82073</v>
      </c>
      <c r="AG101" s="5">
        <f t="shared" si="95"/>
        <v>0</v>
      </c>
    </row>
    <row r="102" spans="1:33" s="6" customFormat="1" ht="48" customHeight="1" x14ac:dyDescent="0.25">
      <c r="A102" s="106"/>
      <c r="B102" s="107"/>
      <c r="C102" s="78" t="s">
        <v>17</v>
      </c>
      <c r="D102" s="78" t="s">
        <v>8</v>
      </c>
      <c r="E102" s="78" t="s">
        <v>12</v>
      </c>
      <c r="F102" s="78" t="s">
        <v>12</v>
      </c>
      <c r="G102" s="78" t="s">
        <v>12</v>
      </c>
      <c r="H102" s="78" t="s">
        <v>12</v>
      </c>
      <c r="I102" s="59">
        <f t="shared" si="98"/>
        <v>3916054.71</v>
      </c>
      <c r="J102" s="59">
        <f>J109</f>
        <v>453600</v>
      </c>
      <c r="K102" s="59">
        <f>K109</f>
        <v>340069</v>
      </c>
      <c r="L102" s="59">
        <v>384834.91</v>
      </c>
      <c r="M102" s="59">
        <f t="shared" ref="M102:R102" si="109">M109</f>
        <v>433000</v>
      </c>
      <c r="N102" s="59">
        <f t="shared" si="109"/>
        <v>409237</v>
      </c>
      <c r="O102" s="59">
        <f t="shared" si="109"/>
        <v>533073.80000000005</v>
      </c>
      <c r="P102" s="59">
        <f t="shared" si="109"/>
        <v>454080</v>
      </c>
      <c r="Q102" s="59">
        <f t="shared" si="109"/>
        <v>454080</v>
      </c>
      <c r="R102" s="59">
        <f t="shared" si="109"/>
        <v>454080</v>
      </c>
      <c r="S102" s="5"/>
      <c r="T102" s="1">
        <f>T109</f>
        <v>454080</v>
      </c>
      <c r="U102" s="5">
        <f t="shared" si="94"/>
        <v>-44843</v>
      </c>
      <c r="V102" s="1">
        <f>V109</f>
        <v>454080</v>
      </c>
      <c r="W102" s="1">
        <f>W109</f>
        <v>454080</v>
      </c>
      <c r="X102" s="1">
        <f>X109</f>
        <v>454080</v>
      </c>
      <c r="Y102" s="50">
        <f t="shared" si="103"/>
        <v>78993.800000000047</v>
      </c>
      <c r="Z102" s="5">
        <f t="shared" si="101"/>
        <v>0</v>
      </c>
      <c r="AA102" s="5">
        <f t="shared" si="102"/>
        <v>0</v>
      </c>
      <c r="AE102" s="1">
        <f>AE109</f>
        <v>409237</v>
      </c>
      <c r="AG102" s="5">
        <f t="shared" si="95"/>
        <v>0</v>
      </c>
    </row>
    <row r="103" spans="1:33" s="6" customFormat="1" ht="48" customHeight="1" x14ac:dyDescent="0.25">
      <c r="A103" s="106"/>
      <c r="B103" s="107"/>
      <c r="C103" s="78" t="s">
        <v>48</v>
      </c>
      <c r="D103" s="78" t="s">
        <v>8</v>
      </c>
      <c r="E103" s="78" t="s">
        <v>12</v>
      </c>
      <c r="F103" s="78" t="s">
        <v>12</v>
      </c>
      <c r="G103" s="78" t="s">
        <v>12</v>
      </c>
      <c r="H103" s="78" t="s">
        <v>12</v>
      </c>
      <c r="I103" s="59">
        <f t="shared" si="98"/>
        <v>1491629</v>
      </c>
      <c r="J103" s="59">
        <v>0</v>
      </c>
      <c r="K103" s="62">
        <v>0</v>
      </c>
      <c r="L103" s="62">
        <f t="shared" ref="L103:R103" si="110">L108</f>
        <v>0</v>
      </c>
      <c r="M103" s="62">
        <f t="shared" si="110"/>
        <v>51973</v>
      </c>
      <c r="N103" s="59">
        <f t="shared" si="110"/>
        <v>199336.95</v>
      </c>
      <c r="O103" s="62">
        <f t="shared" si="110"/>
        <v>217379.05</v>
      </c>
      <c r="P103" s="62">
        <f t="shared" si="110"/>
        <v>340980</v>
      </c>
      <c r="Q103" s="62">
        <f t="shared" ref="Q103" si="111">Q108</f>
        <v>340980</v>
      </c>
      <c r="R103" s="62">
        <f t="shared" si="110"/>
        <v>340980</v>
      </c>
      <c r="S103" s="5"/>
      <c r="T103" s="2">
        <f>T108</f>
        <v>340980</v>
      </c>
      <c r="U103" s="5">
        <f t="shared" si="94"/>
        <v>-141643.04999999999</v>
      </c>
      <c r="V103" s="2">
        <f t="shared" ref="V103" si="112">V108</f>
        <v>340980</v>
      </c>
      <c r="W103" s="2">
        <f t="shared" ref="W103:X103" si="113">W108</f>
        <v>340980</v>
      </c>
      <c r="X103" s="2">
        <f t="shared" si="113"/>
        <v>340980</v>
      </c>
      <c r="Y103" s="50">
        <f t="shared" si="103"/>
        <v>-123600.95000000001</v>
      </c>
      <c r="Z103" s="5">
        <f t="shared" si="101"/>
        <v>0</v>
      </c>
      <c r="AA103" s="5">
        <f t="shared" si="102"/>
        <v>0</v>
      </c>
      <c r="AE103" s="1">
        <f t="shared" ref="AE103" si="114">AE108</f>
        <v>199336.95</v>
      </c>
      <c r="AG103" s="5">
        <f t="shared" si="95"/>
        <v>0</v>
      </c>
    </row>
    <row r="104" spans="1:33" s="6" customFormat="1" ht="48" customHeight="1" x14ac:dyDescent="0.25">
      <c r="A104" s="106"/>
      <c r="B104" s="107"/>
      <c r="C104" s="78" t="s">
        <v>34</v>
      </c>
      <c r="D104" s="78" t="s">
        <v>8</v>
      </c>
      <c r="E104" s="78" t="s">
        <v>12</v>
      </c>
      <c r="F104" s="78" t="s">
        <v>12</v>
      </c>
      <c r="G104" s="78" t="s">
        <v>12</v>
      </c>
      <c r="H104" s="78" t="s">
        <v>12</v>
      </c>
      <c r="I104" s="59">
        <f t="shared" si="98"/>
        <v>2214310.41</v>
      </c>
      <c r="J104" s="59">
        <f t="shared" ref="J104:R104" si="115">J110</f>
        <v>0</v>
      </c>
      <c r="K104" s="59">
        <f t="shared" si="115"/>
        <v>192100</v>
      </c>
      <c r="L104" s="59">
        <f t="shared" si="115"/>
        <v>131019.83</v>
      </c>
      <c r="M104" s="59">
        <f t="shared" si="115"/>
        <v>305484.56</v>
      </c>
      <c r="N104" s="59">
        <f t="shared" si="115"/>
        <v>286501.02</v>
      </c>
      <c r="O104" s="59">
        <f t="shared" si="115"/>
        <v>399205</v>
      </c>
      <c r="P104" s="59">
        <f t="shared" si="115"/>
        <v>300000</v>
      </c>
      <c r="Q104" s="59">
        <f t="shared" ref="Q104" si="116">Q110</f>
        <v>300000</v>
      </c>
      <c r="R104" s="59">
        <f t="shared" si="115"/>
        <v>300000</v>
      </c>
      <c r="S104" s="5"/>
      <c r="T104" s="1">
        <f>T110</f>
        <v>300000</v>
      </c>
      <c r="U104" s="5">
        <f t="shared" si="94"/>
        <v>-13498.979999999981</v>
      </c>
      <c r="V104" s="1">
        <f t="shared" ref="V104" si="117">V110</f>
        <v>300000</v>
      </c>
      <c r="W104" s="1">
        <f t="shared" ref="W104:X104" si="118">W110</f>
        <v>300000</v>
      </c>
      <c r="X104" s="1">
        <f t="shared" si="118"/>
        <v>300000</v>
      </c>
      <c r="Y104" s="50">
        <f t="shared" si="103"/>
        <v>99205</v>
      </c>
      <c r="Z104" s="5">
        <f t="shared" si="101"/>
        <v>0</v>
      </c>
      <c r="AA104" s="5">
        <f t="shared" si="102"/>
        <v>0</v>
      </c>
      <c r="AE104" s="1">
        <f t="shared" ref="AE104" si="119">AE110</f>
        <v>286501.02</v>
      </c>
      <c r="AG104" s="5">
        <f t="shared" si="95"/>
        <v>0</v>
      </c>
    </row>
    <row r="105" spans="1:33" s="6" customFormat="1" ht="43.5" customHeight="1" x14ac:dyDescent="0.25">
      <c r="A105" s="106">
        <v>37</v>
      </c>
      <c r="B105" s="107" t="s">
        <v>65</v>
      </c>
      <c r="C105" s="78" t="s">
        <v>92</v>
      </c>
      <c r="D105" s="78" t="s">
        <v>8</v>
      </c>
      <c r="E105" s="78" t="s">
        <v>12</v>
      </c>
      <c r="F105" s="78" t="s">
        <v>12</v>
      </c>
      <c r="G105" s="78" t="s">
        <v>12</v>
      </c>
      <c r="H105" s="78" t="s">
        <v>12</v>
      </c>
      <c r="I105" s="59">
        <f t="shared" si="98"/>
        <v>8430432.1199999992</v>
      </c>
      <c r="J105" s="59">
        <f>J107+J109+J110</f>
        <v>505600</v>
      </c>
      <c r="K105" s="59">
        <f>K107+K109+K110</f>
        <v>714169</v>
      </c>
      <c r="L105" s="59">
        <f t="shared" ref="L105:R105" si="120">L107+L109+L110+L108</f>
        <v>597927.74</v>
      </c>
      <c r="M105" s="59">
        <f t="shared" si="120"/>
        <v>872530.56</v>
      </c>
      <c r="N105" s="59">
        <f t="shared" si="120"/>
        <v>977147.97</v>
      </c>
      <c r="O105" s="59">
        <f>O107+O109+O110+O108</f>
        <v>1231657.8500000001</v>
      </c>
      <c r="P105" s="59">
        <f t="shared" si="120"/>
        <v>1177133</v>
      </c>
      <c r="Q105" s="59">
        <f t="shared" ref="Q105" si="121">Q107+Q109+Q110+Q108</f>
        <v>1177133</v>
      </c>
      <c r="R105" s="59">
        <f t="shared" si="120"/>
        <v>1177133</v>
      </c>
      <c r="S105" s="5"/>
      <c r="T105" s="1">
        <f>T107+T109+T110+T108</f>
        <v>1177133</v>
      </c>
      <c r="U105" s="5">
        <f t="shared" si="94"/>
        <v>-199985.03000000003</v>
      </c>
      <c r="V105" s="43">
        <f>V107+V109+V110+V108</f>
        <v>1177133</v>
      </c>
      <c r="W105" s="1">
        <f t="shared" ref="W105:X105" si="122">W107+W109+W110+W108</f>
        <v>1177133</v>
      </c>
      <c r="X105" s="1">
        <f t="shared" si="122"/>
        <v>1177133</v>
      </c>
      <c r="Y105" s="50">
        <f t="shared" si="103"/>
        <v>54524.850000000093</v>
      </c>
      <c r="Z105" s="5">
        <f t="shared" si="101"/>
        <v>0</v>
      </c>
      <c r="AA105" s="5">
        <f t="shared" si="102"/>
        <v>0</v>
      </c>
      <c r="AE105" s="1">
        <f t="shared" ref="AE105" si="123">AE107+AE109+AE110+AE108</f>
        <v>977147.97</v>
      </c>
      <c r="AG105" s="5">
        <f t="shared" si="95"/>
        <v>0</v>
      </c>
    </row>
    <row r="106" spans="1:33" s="6" customFormat="1" ht="28.5" customHeight="1" x14ac:dyDescent="0.25">
      <c r="A106" s="106"/>
      <c r="B106" s="107"/>
      <c r="C106" s="78" t="s">
        <v>24</v>
      </c>
      <c r="D106" s="137"/>
      <c r="E106" s="138"/>
      <c r="F106" s="138"/>
      <c r="G106" s="138"/>
      <c r="H106" s="138"/>
      <c r="I106" s="138"/>
      <c r="J106" s="138"/>
      <c r="K106" s="138"/>
      <c r="L106" s="138"/>
      <c r="M106" s="138"/>
      <c r="N106" s="139"/>
      <c r="O106" s="56"/>
      <c r="P106" s="56"/>
      <c r="Q106" s="56"/>
      <c r="R106" s="56"/>
      <c r="S106" s="5"/>
      <c r="U106" s="5">
        <f t="shared" si="94"/>
        <v>0</v>
      </c>
      <c r="V106" s="41"/>
      <c r="W106" s="4"/>
      <c r="X106" s="4"/>
      <c r="Y106" s="50">
        <f t="shared" si="103"/>
        <v>0</v>
      </c>
      <c r="Z106" s="5">
        <f t="shared" si="101"/>
        <v>0</v>
      </c>
      <c r="AA106" s="5">
        <f t="shared" si="102"/>
        <v>0</v>
      </c>
      <c r="AG106" s="5">
        <f t="shared" si="95"/>
        <v>0</v>
      </c>
    </row>
    <row r="107" spans="1:33" s="6" customFormat="1" ht="45.75" customHeight="1" x14ac:dyDescent="0.25">
      <c r="A107" s="106"/>
      <c r="B107" s="107"/>
      <c r="C107" s="78" t="s">
        <v>19</v>
      </c>
      <c r="D107" s="78" t="s">
        <v>8</v>
      </c>
      <c r="E107" s="78" t="s">
        <v>12</v>
      </c>
      <c r="F107" s="78" t="s">
        <v>12</v>
      </c>
      <c r="G107" s="78" t="s">
        <v>12</v>
      </c>
      <c r="H107" s="78" t="s">
        <v>12</v>
      </c>
      <c r="I107" s="59">
        <f t="shared" si="98"/>
        <v>808438</v>
      </c>
      <c r="J107" s="59">
        <v>52000</v>
      </c>
      <c r="K107" s="62">
        <f>252000-70000</f>
        <v>182000</v>
      </c>
      <c r="L107" s="62">
        <v>82073</v>
      </c>
      <c r="M107" s="57">
        <f>L107</f>
        <v>82073</v>
      </c>
      <c r="N107" s="62">
        <v>82073</v>
      </c>
      <c r="O107" s="62">
        <v>82000</v>
      </c>
      <c r="P107" s="56">
        <v>82073</v>
      </c>
      <c r="Q107" s="56">
        <v>82073</v>
      </c>
      <c r="R107" s="56">
        <v>82073</v>
      </c>
      <c r="S107" s="5"/>
      <c r="T107" s="2">
        <v>82073</v>
      </c>
      <c r="U107" s="5">
        <f t="shared" si="94"/>
        <v>0</v>
      </c>
      <c r="V107" s="44">
        <v>82073</v>
      </c>
      <c r="W107" s="4">
        <v>82073</v>
      </c>
      <c r="X107" s="4">
        <v>82073</v>
      </c>
      <c r="Y107" s="50">
        <f t="shared" si="103"/>
        <v>-73</v>
      </c>
      <c r="Z107" s="5">
        <f t="shared" si="101"/>
        <v>0</v>
      </c>
      <c r="AA107" s="5">
        <f t="shared" si="102"/>
        <v>0</v>
      </c>
      <c r="AE107" s="2">
        <v>82073</v>
      </c>
      <c r="AG107" s="5">
        <f t="shared" si="95"/>
        <v>0</v>
      </c>
    </row>
    <row r="108" spans="1:33" s="6" customFormat="1" ht="45.75" customHeight="1" x14ac:dyDescent="0.25">
      <c r="A108" s="106"/>
      <c r="B108" s="107"/>
      <c r="C108" s="78" t="s">
        <v>48</v>
      </c>
      <c r="D108" s="78" t="s">
        <v>8</v>
      </c>
      <c r="E108" s="78" t="s">
        <v>12</v>
      </c>
      <c r="F108" s="78" t="s">
        <v>12</v>
      </c>
      <c r="G108" s="78" t="s">
        <v>12</v>
      </c>
      <c r="H108" s="78" t="s">
        <v>12</v>
      </c>
      <c r="I108" s="59">
        <f t="shared" si="98"/>
        <v>1491629</v>
      </c>
      <c r="J108" s="59">
        <v>0</v>
      </c>
      <c r="K108" s="62">
        <v>0</v>
      </c>
      <c r="L108" s="62">
        <v>0</v>
      </c>
      <c r="M108" s="57">
        <f>91480-39507</f>
        <v>51973</v>
      </c>
      <c r="N108" s="62">
        <v>199336.95</v>
      </c>
      <c r="O108" s="57">
        <v>217379.05</v>
      </c>
      <c r="P108" s="56">
        <v>340980</v>
      </c>
      <c r="Q108" s="56">
        <v>340980</v>
      </c>
      <c r="R108" s="56">
        <v>340980</v>
      </c>
      <c r="S108" s="5"/>
      <c r="T108" s="3">
        <v>340980</v>
      </c>
      <c r="U108" s="5">
        <f t="shared" si="94"/>
        <v>-141643.04999999999</v>
      </c>
      <c r="V108" s="4">
        <v>340980</v>
      </c>
      <c r="W108" s="4">
        <v>340980</v>
      </c>
      <c r="X108" s="4">
        <v>340980</v>
      </c>
      <c r="Y108" s="50">
        <f t="shared" si="103"/>
        <v>-123600.95000000001</v>
      </c>
      <c r="Z108" s="5">
        <f t="shared" si="101"/>
        <v>0</v>
      </c>
      <c r="AA108" s="5">
        <f t="shared" si="102"/>
        <v>0</v>
      </c>
      <c r="AE108" s="2">
        <v>199336.95</v>
      </c>
      <c r="AG108" s="5">
        <f t="shared" si="95"/>
        <v>0</v>
      </c>
    </row>
    <row r="109" spans="1:33" s="6" customFormat="1" ht="45.75" customHeight="1" x14ac:dyDescent="0.25">
      <c r="A109" s="106"/>
      <c r="B109" s="107"/>
      <c r="C109" s="78" t="s">
        <v>17</v>
      </c>
      <c r="D109" s="78" t="s">
        <v>8</v>
      </c>
      <c r="E109" s="78" t="s">
        <v>12</v>
      </c>
      <c r="F109" s="78" t="s">
        <v>12</v>
      </c>
      <c r="G109" s="78" t="s">
        <v>12</v>
      </c>
      <c r="H109" s="78" t="s">
        <v>12</v>
      </c>
      <c r="I109" s="59">
        <f t="shared" si="98"/>
        <v>3916054.71</v>
      </c>
      <c r="J109" s="59">
        <v>453600</v>
      </c>
      <c r="K109" s="62">
        <f>361600-37731+16200</f>
        <v>340069</v>
      </c>
      <c r="L109" s="59">
        <v>384834.91</v>
      </c>
      <c r="M109" s="57">
        <f>454114-21114</f>
        <v>433000</v>
      </c>
      <c r="N109" s="57">
        <v>409237</v>
      </c>
      <c r="O109" s="57">
        <v>533073.80000000005</v>
      </c>
      <c r="P109" s="56">
        <v>454080</v>
      </c>
      <c r="Q109" s="56">
        <v>454080</v>
      </c>
      <c r="R109" s="56">
        <v>454080</v>
      </c>
      <c r="S109" s="5"/>
      <c r="T109" s="3">
        <v>454080</v>
      </c>
      <c r="U109" s="5">
        <f t="shared" si="94"/>
        <v>-44843</v>
      </c>
      <c r="V109" s="4">
        <v>454080</v>
      </c>
      <c r="W109" s="4">
        <v>454080</v>
      </c>
      <c r="X109" s="4">
        <v>454080</v>
      </c>
      <c r="Y109" s="50">
        <f t="shared" si="103"/>
        <v>78993.800000000047</v>
      </c>
      <c r="Z109" s="5">
        <f t="shared" si="101"/>
        <v>0</v>
      </c>
      <c r="AA109" s="5">
        <f t="shared" si="102"/>
        <v>0</v>
      </c>
      <c r="AE109" s="3">
        <v>409237</v>
      </c>
      <c r="AG109" s="5">
        <f t="shared" si="95"/>
        <v>0</v>
      </c>
    </row>
    <row r="110" spans="1:33" s="6" customFormat="1" ht="45.75" customHeight="1" x14ac:dyDescent="0.25">
      <c r="A110" s="106"/>
      <c r="B110" s="107"/>
      <c r="C110" s="78" t="s">
        <v>41</v>
      </c>
      <c r="D110" s="78" t="s">
        <v>8</v>
      </c>
      <c r="E110" s="78" t="s">
        <v>12</v>
      </c>
      <c r="F110" s="78" t="s">
        <v>12</v>
      </c>
      <c r="G110" s="78" t="s">
        <v>12</v>
      </c>
      <c r="H110" s="78" t="s">
        <v>12</v>
      </c>
      <c r="I110" s="59">
        <f t="shared" si="98"/>
        <v>2214310.41</v>
      </c>
      <c r="J110" s="59">
        <v>0</v>
      </c>
      <c r="K110" s="62">
        <f>229000-33800-3100</f>
        <v>192100</v>
      </c>
      <c r="L110" s="62">
        <f>200000-68980.17</f>
        <v>131019.83</v>
      </c>
      <c r="M110" s="57">
        <f>300000+5484.56</f>
        <v>305484.56</v>
      </c>
      <c r="N110" s="57">
        <v>286501.02</v>
      </c>
      <c r="O110" s="57">
        <v>399205</v>
      </c>
      <c r="P110" s="56">
        <v>300000</v>
      </c>
      <c r="Q110" s="56">
        <v>300000</v>
      </c>
      <c r="R110" s="56">
        <v>300000</v>
      </c>
      <c r="S110" s="5"/>
      <c r="T110" s="3">
        <v>300000</v>
      </c>
      <c r="U110" s="5">
        <f t="shared" ref="U110:U141" si="124">N110-T110</f>
        <v>-13498.979999999981</v>
      </c>
      <c r="V110" s="42">
        <v>300000</v>
      </c>
      <c r="W110" s="4">
        <v>300000</v>
      </c>
      <c r="X110" s="4">
        <v>300000</v>
      </c>
      <c r="Y110" s="50">
        <f t="shared" si="103"/>
        <v>99205</v>
      </c>
      <c r="Z110" s="5">
        <f t="shared" si="101"/>
        <v>0</v>
      </c>
      <c r="AA110" s="5">
        <f t="shared" si="102"/>
        <v>0</v>
      </c>
      <c r="AE110" s="3">
        <v>286501.02</v>
      </c>
      <c r="AG110" s="5">
        <f t="shared" si="95"/>
        <v>0</v>
      </c>
    </row>
    <row r="111" spans="1:33" s="39" customFormat="1" ht="45.75" customHeight="1" x14ac:dyDescent="0.25">
      <c r="A111" s="63">
        <v>38</v>
      </c>
      <c r="B111" s="82" t="s">
        <v>28</v>
      </c>
      <c r="C111" s="82"/>
      <c r="D111" s="82" t="s">
        <v>8</v>
      </c>
      <c r="E111" s="82" t="s">
        <v>12</v>
      </c>
      <c r="F111" s="82" t="s">
        <v>12</v>
      </c>
      <c r="G111" s="82" t="s">
        <v>12</v>
      </c>
      <c r="H111" s="82" t="s">
        <v>12</v>
      </c>
      <c r="I111" s="67">
        <f t="shared" si="98"/>
        <v>8430432.1199999992</v>
      </c>
      <c r="J111" s="67">
        <f t="shared" ref="J111:R111" si="125">J100</f>
        <v>505600</v>
      </c>
      <c r="K111" s="67">
        <f t="shared" si="125"/>
        <v>714169</v>
      </c>
      <c r="L111" s="67">
        <f t="shared" si="125"/>
        <v>597927.74</v>
      </c>
      <c r="M111" s="68">
        <f t="shared" si="125"/>
        <v>872530.56</v>
      </c>
      <c r="N111" s="68">
        <f>N100</f>
        <v>977147.97</v>
      </c>
      <c r="O111" s="68">
        <f t="shared" si="125"/>
        <v>1231657.8500000001</v>
      </c>
      <c r="P111" s="68">
        <f t="shared" si="125"/>
        <v>1177133</v>
      </c>
      <c r="Q111" s="68">
        <f t="shared" ref="Q111" si="126">Q100</f>
        <v>1177133</v>
      </c>
      <c r="R111" s="68">
        <f t="shared" si="125"/>
        <v>1177133</v>
      </c>
      <c r="S111" s="25"/>
      <c r="T111" s="13">
        <f>T100</f>
        <v>1177133</v>
      </c>
      <c r="U111" s="25">
        <f t="shared" si="124"/>
        <v>-199985.03000000003</v>
      </c>
      <c r="V111" s="13">
        <f t="shared" ref="V111:X111" si="127">V100</f>
        <v>1177133</v>
      </c>
      <c r="W111" s="13">
        <f t="shared" si="127"/>
        <v>1177133</v>
      </c>
      <c r="X111" s="13">
        <f t="shared" si="127"/>
        <v>1177133</v>
      </c>
      <c r="Y111" s="51">
        <f t="shared" si="103"/>
        <v>54524.850000000093</v>
      </c>
      <c r="Z111" s="25">
        <f t="shared" si="101"/>
        <v>0</v>
      </c>
      <c r="AA111" s="25">
        <f t="shared" si="102"/>
        <v>0</v>
      </c>
      <c r="AE111" s="13">
        <f>AE100</f>
        <v>977147.97</v>
      </c>
      <c r="AG111" s="5">
        <f t="shared" ref="AG111:AG144" si="128">N111-AE111</f>
        <v>0</v>
      </c>
    </row>
    <row r="112" spans="1:33" s="39" customFormat="1" ht="42.75" customHeight="1" x14ac:dyDescent="0.25">
      <c r="A112" s="63">
        <v>39</v>
      </c>
      <c r="B112" s="82" t="s">
        <v>22</v>
      </c>
      <c r="C112" s="82"/>
      <c r="D112" s="82"/>
      <c r="E112" s="82" t="s">
        <v>12</v>
      </c>
      <c r="F112" s="82" t="s">
        <v>12</v>
      </c>
      <c r="G112" s="82" t="s">
        <v>12</v>
      </c>
      <c r="H112" s="82" t="s">
        <v>12</v>
      </c>
      <c r="I112" s="67">
        <f t="shared" si="98"/>
        <v>4268885227.4200006</v>
      </c>
      <c r="J112" s="67">
        <f>J111+J51+J53</f>
        <v>379094629.33999997</v>
      </c>
      <c r="K112" s="67">
        <f>K111+K51+K53</f>
        <v>430042865.21000004</v>
      </c>
      <c r="L112" s="67">
        <f>L111+L53+L51</f>
        <v>461001041.55000001</v>
      </c>
      <c r="M112" s="67">
        <f>M111+M53+M54</f>
        <v>553822733.95000005</v>
      </c>
      <c r="N112" s="67">
        <f>N111+N53+N54+N55</f>
        <v>528343340.45000005</v>
      </c>
      <c r="O112" s="67">
        <f>O111+O53+O54</f>
        <v>545574972.07000005</v>
      </c>
      <c r="P112" s="67">
        <f>P111+P53+P54</f>
        <v>464962535.05000001</v>
      </c>
      <c r="Q112" s="67">
        <f>Q111+Q53+Q54</f>
        <v>453021554.90000004</v>
      </c>
      <c r="R112" s="67">
        <f>R111+R53+R54</f>
        <v>453021554.90000004</v>
      </c>
      <c r="S112" s="25"/>
      <c r="T112" s="20">
        <f>T111+T53+T54+T55</f>
        <v>524103334.12</v>
      </c>
      <c r="U112" s="25">
        <f t="shared" si="124"/>
        <v>4240006.3300000429</v>
      </c>
      <c r="V112" s="20">
        <f>V111+V53+V54</f>
        <v>481668643.87</v>
      </c>
      <c r="W112" s="20">
        <f>W111+W53+W54</f>
        <v>540074663.5</v>
      </c>
      <c r="X112" s="20">
        <f>X111+X53+X54</f>
        <v>535162910.06</v>
      </c>
      <c r="Y112" s="51">
        <f t="shared" si="103"/>
        <v>63906328.200000048</v>
      </c>
      <c r="Z112" s="25">
        <f t="shared" si="101"/>
        <v>-75112128.449999988</v>
      </c>
      <c r="AA112" s="25">
        <f t="shared" si="102"/>
        <v>-82141355.159999967</v>
      </c>
      <c r="AE112" s="20">
        <f>AE111+AE53+AE54+AE55</f>
        <v>528343340.45000005</v>
      </c>
      <c r="AG112" s="5">
        <f t="shared" si="128"/>
        <v>0</v>
      </c>
    </row>
    <row r="113" spans="1:33" s="6" customFormat="1" ht="26.25" customHeight="1" x14ac:dyDescent="0.25">
      <c r="A113" s="81">
        <v>40</v>
      </c>
      <c r="B113" s="82" t="s">
        <v>24</v>
      </c>
      <c r="C113" s="78"/>
      <c r="D113" s="78"/>
      <c r="E113" s="78"/>
      <c r="F113" s="78"/>
      <c r="G113" s="78"/>
      <c r="H113" s="78"/>
      <c r="I113" s="59"/>
      <c r="J113" s="78"/>
      <c r="K113" s="78"/>
      <c r="L113" s="78"/>
      <c r="M113" s="60"/>
      <c r="N113" s="61"/>
      <c r="O113" s="56"/>
      <c r="P113" s="56"/>
      <c r="Q113" s="56"/>
      <c r="R113" s="56"/>
      <c r="S113" s="5"/>
      <c r="T113" s="7"/>
      <c r="U113" s="5">
        <f t="shared" si="124"/>
        <v>0</v>
      </c>
      <c r="V113" s="4"/>
      <c r="W113" s="4"/>
      <c r="X113" s="4"/>
      <c r="Y113" s="50">
        <f t="shared" si="103"/>
        <v>0</v>
      </c>
      <c r="Z113" s="5">
        <f t="shared" si="101"/>
        <v>0</v>
      </c>
      <c r="AA113" s="5">
        <f t="shared" si="102"/>
        <v>0</v>
      </c>
      <c r="AE113" s="7"/>
      <c r="AG113" s="5">
        <f t="shared" si="128"/>
        <v>0</v>
      </c>
    </row>
    <row r="114" spans="1:33" s="39" customFormat="1" ht="47.25" customHeight="1" x14ac:dyDescent="0.25">
      <c r="A114" s="63">
        <v>41</v>
      </c>
      <c r="B114" s="82" t="s">
        <v>8</v>
      </c>
      <c r="C114" s="82"/>
      <c r="D114" s="82"/>
      <c r="E114" s="82" t="s">
        <v>12</v>
      </c>
      <c r="F114" s="82" t="s">
        <v>12</v>
      </c>
      <c r="G114" s="82" t="s">
        <v>12</v>
      </c>
      <c r="H114" s="82" t="s">
        <v>12</v>
      </c>
      <c r="I114" s="67">
        <f t="shared" si="98"/>
        <v>4028556726.0500002</v>
      </c>
      <c r="J114" s="67">
        <f t="shared" ref="J114:R115" si="129">J50</f>
        <v>372889129.33999997</v>
      </c>
      <c r="K114" s="67">
        <f t="shared" si="129"/>
        <v>424396537.21000004</v>
      </c>
      <c r="L114" s="67">
        <f t="shared" si="129"/>
        <v>452889558.25</v>
      </c>
      <c r="M114" s="68">
        <f t="shared" si="129"/>
        <v>512472449.95000005</v>
      </c>
      <c r="N114" s="68">
        <f t="shared" si="129"/>
        <v>489229392.56000006</v>
      </c>
      <c r="O114" s="68">
        <f t="shared" si="129"/>
        <v>504396594.04000002</v>
      </c>
      <c r="P114" s="68">
        <f t="shared" si="129"/>
        <v>424094354.90000004</v>
      </c>
      <c r="Q114" s="68">
        <f t="shared" ref="Q114" si="130">Q50</f>
        <v>424094354.90000004</v>
      </c>
      <c r="R114" s="68">
        <f t="shared" si="129"/>
        <v>424094354.90000004</v>
      </c>
      <c r="S114" s="25"/>
      <c r="T114" s="13">
        <f>T50</f>
        <v>484989386.23000002</v>
      </c>
      <c r="U114" s="25">
        <f t="shared" si="124"/>
        <v>4240006.3300000429</v>
      </c>
      <c r="V114" s="13">
        <f t="shared" ref="V114:X114" si="131">V50</f>
        <v>448386444.84000003</v>
      </c>
      <c r="W114" s="13">
        <f t="shared" si="131"/>
        <v>507522705.04000002</v>
      </c>
      <c r="X114" s="13">
        <f t="shared" si="131"/>
        <v>507924705.04000002</v>
      </c>
      <c r="Y114" s="51">
        <f t="shared" si="103"/>
        <v>56010149.199999988</v>
      </c>
      <c r="Z114" s="25">
        <f t="shared" si="101"/>
        <v>-83428350.139999986</v>
      </c>
      <c r="AA114" s="25">
        <f t="shared" si="102"/>
        <v>-83830350.139999986</v>
      </c>
      <c r="AE114" s="13">
        <f t="shared" ref="AE114" si="132">AE50</f>
        <v>489229392.56000006</v>
      </c>
      <c r="AG114" s="5">
        <f t="shared" si="128"/>
        <v>0</v>
      </c>
    </row>
    <row r="115" spans="1:33" s="39" customFormat="1" ht="47.25" customHeight="1" x14ac:dyDescent="0.25">
      <c r="A115" s="63">
        <v>42</v>
      </c>
      <c r="B115" s="82" t="s">
        <v>30</v>
      </c>
      <c r="C115" s="82"/>
      <c r="D115" s="82"/>
      <c r="E115" s="82" t="s">
        <v>12</v>
      </c>
      <c r="F115" s="82" t="s">
        <v>12</v>
      </c>
      <c r="G115" s="82" t="s">
        <v>12</v>
      </c>
      <c r="H115" s="82" t="s">
        <v>12</v>
      </c>
      <c r="I115" s="67">
        <f t="shared" si="98"/>
        <v>239834619.37</v>
      </c>
      <c r="J115" s="67">
        <f t="shared" si="129"/>
        <v>6205500</v>
      </c>
      <c r="K115" s="67">
        <f t="shared" si="129"/>
        <v>5646328</v>
      </c>
      <c r="L115" s="67">
        <f t="shared" si="129"/>
        <v>8111483.2999999998</v>
      </c>
      <c r="M115" s="68">
        <f t="shared" si="129"/>
        <v>41350284</v>
      </c>
      <c r="N115" s="68">
        <f t="shared" si="129"/>
        <v>38620065.890000001</v>
      </c>
      <c r="O115" s="68">
        <f t="shared" si="129"/>
        <v>41178378.030000001</v>
      </c>
      <c r="P115" s="68">
        <f t="shared" si="129"/>
        <v>40868180.149999999</v>
      </c>
      <c r="Q115" s="68">
        <f t="shared" ref="Q115" si="133">Q51</f>
        <v>28927200</v>
      </c>
      <c r="R115" s="68">
        <f t="shared" si="129"/>
        <v>28927200</v>
      </c>
      <c r="S115" s="25"/>
      <c r="T115" s="13">
        <f>T51</f>
        <v>38620065.890000001</v>
      </c>
      <c r="U115" s="25">
        <f t="shared" si="124"/>
        <v>0</v>
      </c>
      <c r="V115" s="13">
        <f t="shared" ref="V115:X115" si="134">V51</f>
        <v>33282199.030000001</v>
      </c>
      <c r="W115" s="13">
        <f t="shared" si="134"/>
        <v>32551958.460000001</v>
      </c>
      <c r="X115" s="13">
        <f t="shared" si="134"/>
        <v>27238205.02</v>
      </c>
      <c r="Y115" s="51">
        <f t="shared" si="103"/>
        <v>7896179</v>
      </c>
      <c r="Z115" s="25">
        <f t="shared" si="101"/>
        <v>8316221.6899999976</v>
      </c>
      <c r="AA115" s="25">
        <f t="shared" si="102"/>
        <v>1688994.9800000004</v>
      </c>
      <c r="AE115" s="13">
        <f t="shared" ref="AE115" si="135">AE51</f>
        <v>38620065.890000001</v>
      </c>
      <c r="AG115" s="5">
        <f t="shared" si="128"/>
        <v>0</v>
      </c>
    </row>
    <row r="116" spans="1:33" s="39" customFormat="1" ht="47.25" customHeight="1" x14ac:dyDescent="0.25">
      <c r="A116" s="69">
        <v>43</v>
      </c>
      <c r="B116" s="82" t="s">
        <v>37</v>
      </c>
      <c r="C116" s="82"/>
      <c r="D116" s="82"/>
      <c r="E116" s="82" t="s">
        <v>12</v>
      </c>
      <c r="F116" s="82" t="s">
        <v>12</v>
      </c>
      <c r="G116" s="82" t="s">
        <v>12</v>
      </c>
      <c r="H116" s="82" t="s">
        <v>12</v>
      </c>
      <c r="I116" s="67">
        <f t="shared" si="98"/>
        <v>493882</v>
      </c>
      <c r="J116" s="67">
        <v>0</v>
      </c>
      <c r="K116" s="67">
        <v>0</v>
      </c>
      <c r="L116" s="67">
        <v>0</v>
      </c>
      <c r="M116" s="68">
        <v>0</v>
      </c>
      <c r="N116" s="68">
        <f>N55</f>
        <v>493882</v>
      </c>
      <c r="O116" s="68">
        <f>O55</f>
        <v>0</v>
      </c>
      <c r="P116" s="68">
        <f>P55</f>
        <v>0</v>
      </c>
      <c r="Q116" s="68">
        <f>Q55</f>
        <v>0</v>
      </c>
      <c r="R116" s="68">
        <f>R55</f>
        <v>0</v>
      </c>
      <c r="S116" s="25"/>
      <c r="T116" s="13">
        <f>T55</f>
        <v>493882</v>
      </c>
      <c r="U116" s="25">
        <f t="shared" si="124"/>
        <v>0</v>
      </c>
      <c r="V116" s="13">
        <f>V55</f>
        <v>0</v>
      </c>
      <c r="W116" s="13">
        <f>W55</f>
        <v>0</v>
      </c>
      <c r="X116" s="13">
        <f>X55</f>
        <v>0</v>
      </c>
      <c r="Y116" s="51">
        <f t="shared" si="103"/>
        <v>0</v>
      </c>
      <c r="Z116" s="25">
        <f t="shared" si="101"/>
        <v>0</v>
      </c>
      <c r="AA116" s="25">
        <f t="shared" si="102"/>
        <v>0</v>
      </c>
      <c r="AE116" s="13">
        <f>AE55</f>
        <v>493882</v>
      </c>
      <c r="AG116" s="5">
        <f t="shared" si="128"/>
        <v>0</v>
      </c>
    </row>
    <row r="117" spans="1:33" s="6" customFormat="1" ht="36.75" customHeight="1" x14ac:dyDescent="0.25">
      <c r="A117" s="144" t="s">
        <v>36</v>
      </c>
      <c r="B117" s="145"/>
      <c r="C117" s="145"/>
      <c r="D117" s="145"/>
      <c r="E117" s="145"/>
      <c r="F117" s="145"/>
      <c r="G117" s="145"/>
      <c r="H117" s="145"/>
      <c r="I117" s="145"/>
      <c r="J117" s="145"/>
      <c r="K117" s="145"/>
      <c r="L117" s="145"/>
      <c r="M117" s="145"/>
      <c r="N117" s="145"/>
      <c r="O117" s="145"/>
      <c r="P117" s="145"/>
      <c r="Q117" s="145"/>
      <c r="R117" s="146"/>
      <c r="S117" s="5"/>
      <c r="U117" s="5">
        <f t="shared" si="124"/>
        <v>0</v>
      </c>
      <c r="Y117" s="50">
        <f t="shared" si="103"/>
        <v>0</v>
      </c>
      <c r="Z117" s="5">
        <f t="shared" si="101"/>
        <v>0</v>
      </c>
      <c r="AA117" s="5">
        <f t="shared" si="102"/>
        <v>0</v>
      </c>
      <c r="AG117" s="5">
        <f t="shared" si="128"/>
        <v>0</v>
      </c>
    </row>
    <row r="118" spans="1:33" s="6" customFormat="1" ht="39" customHeight="1" x14ac:dyDescent="0.25">
      <c r="A118" s="106">
        <v>45</v>
      </c>
      <c r="B118" s="107" t="s">
        <v>66</v>
      </c>
      <c r="C118" s="97" t="s">
        <v>25</v>
      </c>
      <c r="D118" s="78" t="s">
        <v>37</v>
      </c>
      <c r="E118" s="78" t="s">
        <v>12</v>
      </c>
      <c r="F118" s="78" t="s">
        <v>12</v>
      </c>
      <c r="G118" s="78" t="s">
        <v>12</v>
      </c>
      <c r="H118" s="78" t="s">
        <v>12</v>
      </c>
      <c r="I118" s="59">
        <f t="shared" si="98"/>
        <v>100438120</v>
      </c>
      <c r="J118" s="59">
        <v>0</v>
      </c>
      <c r="K118" s="59">
        <f>K120</f>
        <v>100438120</v>
      </c>
      <c r="L118" s="59">
        <v>0</v>
      </c>
      <c r="M118" s="56">
        <v>0</v>
      </c>
      <c r="N118" s="56">
        <v>0</v>
      </c>
      <c r="O118" s="56">
        <v>0</v>
      </c>
      <c r="P118" s="56">
        <v>0</v>
      </c>
      <c r="Q118" s="56">
        <v>0</v>
      </c>
      <c r="R118" s="56">
        <v>0</v>
      </c>
      <c r="S118" s="5"/>
      <c r="T118" s="4">
        <v>0</v>
      </c>
      <c r="U118" s="5">
        <f t="shared" si="124"/>
        <v>0</v>
      </c>
      <c r="V118" s="4">
        <v>0</v>
      </c>
      <c r="W118" s="4">
        <v>0</v>
      </c>
      <c r="X118" s="4">
        <v>0</v>
      </c>
      <c r="Y118" s="50">
        <f t="shared" si="103"/>
        <v>0</v>
      </c>
      <c r="Z118" s="5">
        <f t="shared" si="101"/>
        <v>0</v>
      </c>
      <c r="AA118" s="5">
        <f t="shared" si="102"/>
        <v>0</v>
      </c>
      <c r="AE118" s="4">
        <v>0</v>
      </c>
      <c r="AG118" s="5">
        <f t="shared" si="128"/>
        <v>0</v>
      </c>
    </row>
    <row r="119" spans="1:33" s="6" customFormat="1" ht="39.75" customHeight="1" x14ac:dyDescent="0.25">
      <c r="A119" s="106"/>
      <c r="B119" s="107"/>
      <c r="C119" s="97"/>
      <c r="D119" s="78" t="s">
        <v>30</v>
      </c>
      <c r="E119" s="78" t="s">
        <v>12</v>
      </c>
      <c r="F119" s="78" t="s">
        <v>12</v>
      </c>
      <c r="G119" s="78" t="s">
        <v>12</v>
      </c>
      <c r="H119" s="78" t="s">
        <v>12</v>
      </c>
      <c r="I119" s="59">
        <f t="shared" si="98"/>
        <v>39059268.890000001</v>
      </c>
      <c r="J119" s="59">
        <v>0</v>
      </c>
      <c r="K119" s="59">
        <f>K121</f>
        <v>39059268.890000001</v>
      </c>
      <c r="L119" s="59">
        <v>0</v>
      </c>
      <c r="M119" s="56">
        <v>0</v>
      </c>
      <c r="N119" s="56">
        <v>0</v>
      </c>
      <c r="O119" s="56">
        <v>0</v>
      </c>
      <c r="P119" s="56">
        <v>0</v>
      </c>
      <c r="Q119" s="56">
        <v>0</v>
      </c>
      <c r="R119" s="56">
        <v>0</v>
      </c>
      <c r="S119" s="5"/>
      <c r="T119" s="4">
        <v>0</v>
      </c>
      <c r="U119" s="5">
        <f t="shared" si="124"/>
        <v>0</v>
      </c>
      <c r="V119" s="4">
        <v>0</v>
      </c>
      <c r="W119" s="4">
        <v>0</v>
      </c>
      <c r="X119" s="4">
        <v>0</v>
      </c>
      <c r="Y119" s="50">
        <f t="shared" si="103"/>
        <v>0</v>
      </c>
      <c r="Z119" s="5">
        <f t="shared" si="101"/>
        <v>0</v>
      </c>
      <c r="AA119" s="5">
        <f t="shared" si="102"/>
        <v>0</v>
      </c>
      <c r="AE119" s="4">
        <v>0</v>
      </c>
      <c r="AG119" s="5">
        <f t="shared" si="128"/>
        <v>0</v>
      </c>
    </row>
    <row r="120" spans="1:33" s="6" customFormat="1" ht="53.25" customHeight="1" x14ac:dyDescent="0.25">
      <c r="A120" s="106">
        <v>46</v>
      </c>
      <c r="B120" s="107" t="s">
        <v>67</v>
      </c>
      <c r="C120" s="97" t="s">
        <v>25</v>
      </c>
      <c r="D120" s="78" t="s">
        <v>37</v>
      </c>
      <c r="E120" s="78" t="s">
        <v>12</v>
      </c>
      <c r="F120" s="78" t="s">
        <v>12</v>
      </c>
      <c r="G120" s="78" t="s">
        <v>12</v>
      </c>
      <c r="H120" s="78" t="s">
        <v>12</v>
      </c>
      <c r="I120" s="59">
        <f t="shared" si="98"/>
        <v>100438120</v>
      </c>
      <c r="J120" s="59">
        <v>0</v>
      </c>
      <c r="K120" s="59">
        <f>K128</f>
        <v>100438120</v>
      </c>
      <c r="L120" s="59">
        <v>0</v>
      </c>
      <c r="M120" s="56">
        <v>0</v>
      </c>
      <c r="N120" s="56">
        <v>0</v>
      </c>
      <c r="O120" s="56">
        <v>0</v>
      </c>
      <c r="P120" s="56">
        <v>0</v>
      </c>
      <c r="Q120" s="56">
        <v>0</v>
      </c>
      <c r="R120" s="56">
        <v>0</v>
      </c>
      <c r="S120" s="5"/>
      <c r="T120" s="4">
        <v>0</v>
      </c>
      <c r="U120" s="5">
        <f t="shared" si="124"/>
        <v>0</v>
      </c>
      <c r="V120" s="4">
        <v>0</v>
      </c>
      <c r="W120" s="4">
        <v>0</v>
      </c>
      <c r="X120" s="4">
        <v>0</v>
      </c>
      <c r="Y120" s="50">
        <f t="shared" si="103"/>
        <v>0</v>
      </c>
      <c r="Z120" s="5">
        <f t="shared" si="101"/>
        <v>0</v>
      </c>
      <c r="AA120" s="5">
        <f t="shared" si="102"/>
        <v>0</v>
      </c>
      <c r="AE120" s="4">
        <v>0</v>
      </c>
      <c r="AG120" s="5">
        <f t="shared" si="128"/>
        <v>0</v>
      </c>
    </row>
    <row r="121" spans="1:33" s="6" customFormat="1" ht="48" customHeight="1" x14ac:dyDescent="0.25">
      <c r="A121" s="106"/>
      <c r="B121" s="107"/>
      <c r="C121" s="97"/>
      <c r="D121" s="78" t="s">
        <v>30</v>
      </c>
      <c r="E121" s="78" t="s">
        <v>12</v>
      </c>
      <c r="F121" s="78" t="s">
        <v>12</v>
      </c>
      <c r="G121" s="78" t="s">
        <v>12</v>
      </c>
      <c r="H121" s="78" t="s">
        <v>12</v>
      </c>
      <c r="I121" s="59">
        <f t="shared" si="98"/>
        <v>39059268.890000001</v>
      </c>
      <c r="J121" s="59">
        <v>0</v>
      </c>
      <c r="K121" s="59">
        <f>K129</f>
        <v>39059268.890000001</v>
      </c>
      <c r="L121" s="59">
        <v>0</v>
      </c>
      <c r="M121" s="56">
        <v>0</v>
      </c>
      <c r="N121" s="56">
        <v>0</v>
      </c>
      <c r="O121" s="56">
        <v>0</v>
      </c>
      <c r="P121" s="56">
        <v>0</v>
      </c>
      <c r="Q121" s="56">
        <v>0</v>
      </c>
      <c r="R121" s="56">
        <v>0</v>
      </c>
      <c r="S121" s="5"/>
      <c r="T121" s="4">
        <v>0</v>
      </c>
      <c r="U121" s="5">
        <f t="shared" si="124"/>
        <v>0</v>
      </c>
      <c r="V121" s="4">
        <v>0</v>
      </c>
      <c r="W121" s="4">
        <v>0</v>
      </c>
      <c r="X121" s="4">
        <v>0</v>
      </c>
      <c r="Y121" s="50">
        <f t="shared" si="103"/>
        <v>0</v>
      </c>
      <c r="Z121" s="5">
        <f t="shared" si="101"/>
        <v>0</v>
      </c>
      <c r="AA121" s="5">
        <f t="shared" si="102"/>
        <v>0</v>
      </c>
      <c r="AE121" s="4">
        <v>0</v>
      </c>
      <c r="AG121" s="5">
        <f t="shared" si="128"/>
        <v>0</v>
      </c>
    </row>
    <row r="122" spans="1:33" s="6" customFormat="1" ht="40.5" customHeight="1" x14ac:dyDescent="0.25">
      <c r="A122" s="106">
        <v>47</v>
      </c>
      <c r="B122" s="107" t="s">
        <v>68</v>
      </c>
      <c r="C122" s="97" t="s">
        <v>25</v>
      </c>
      <c r="D122" s="78" t="s">
        <v>37</v>
      </c>
      <c r="E122" s="78" t="s">
        <v>12</v>
      </c>
      <c r="F122" s="78" t="s">
        <v>12</v>
      </c>
      <c r="G122" s="78" t="s">
        <v>12</v>
      </c>
      <c r="H122" s="78" t="s">
        <v>12</v>
      </c>
      <c r="I122" s="59">
        <f t="shared" si="98"/>
        <v>66958745.460000001</v>
      </c>
      <c r="J122" s="59">
        <v>0</v>
      </c>
      <c r="K122" s="59">
        <f>66958745.46</f>
        <v>66958745.460000001</v>
      </c>
      <c r="L122" s="59">
        <v>0</v>
      </c>
      <c r="M122" s="56">
        <v>0</v>
      </c>
      <c r="N122" s="56">
        <v>0</v>
      </c>
      <c r="O122" s="56">
        <v>0</v>
      </c>
      <c r="P122" s="56">
        <v>0</v>
      </c>
      <c r="Q122" s="56">
        <v>0</v>
      </c>
      <c r="R122" s="56">
        <v>0</v>
      </c>
      <c r="S122" s="5"/>
      <c r="T122" s="4">
        <v>0</v>
      </c>
      <c r="U122" s="5">
        <f t="shared" si="124"/>
        <v>0</v>
      </c>
      <c r="V122" s="4">
        <v>0</v>
      </c>
      <c r="W122" s="4">
        <v>0</v>
      </c>
      <c r="X122" s="4">
        <v>0</v>
      </c>
      <c r="Y122" s="50">
        <f t="shared" si="103"/>
        <v>0</v>
      </c>
      <c r="Z122" s="5">
        <f t="shared" si="101"/>
        <v>0</v>
      </c>
      <c r="AA122" s="5">
        <f t="shared" si="102"/>
        <v>0</v>
      </c>
      <c r="AE122" s="4">
        <v>0</v>
      </c>
      <c r="AG122" s="5">
        <f t="shared" si="128"/>
        <v>0</v>
      </c>
    </row>
    <row r="123" spans="1:33" s="6" customFormat="1" ht="40.5" customHeight="1" x14ac:dyDescent="0.25">
      <c r="A123" s="106"/>
      <c r="B123" s="107"/>
      <c r="C123" s="97"/>
      <c r="D123" s="78" t="s">
        <v>30</v>
      </c>
      <c r="E123" s="78" t="s">
        <v>12</v>
      </c>
      <c r="F123" s="78" t="s">
        <v>12</v>
      </c>
      <c r="G123" s="78" t="s">
        <v>12</v>
      </c>
      <c r="H123" s="78" t="s">
        <v>12</v>
      </c>
      <c r="I123" s="59">
        <f t="shared" si="98"/>
        <v>26039512.129999999</v>
      </c>
      <c r="J123" s="59">
        <v>0</v>
      </c>
      <c r="K123" s="59">
        <f>26039517.24-5.11</f>
        <v>26039512.129999999</v>
      </c>
      <c r="L123" s="59">
        <v>0</v>
      </c>
      <c r="M123" s="56">
        <v>0</v>
      </c>
      <c r="N123" s="56">
        <v>0</v>
      </c>
      <c r="O123" s="56">
        <v>0</v>
      </c>
      <c r="P123" s="56">
        <v>0</v>
      </c>
      <c r="Q123" s="56">
        <v>0</v>
      </c>
      <c r="R123" s="56">
        <v>0</v>
      </c>
      <c r="S123" s="5"/>
      <c r="T123" s="4">
        <v>0</v>
      </c>
      <c r="U123" s="5">
        <f t="shared" si="124"/>
        <v>0</v>
      </c>
      <c r="V123" s="4">
        <v>0</v>
      </c>
      <c r="W123" s="4">
        <v>0</v>
      </c>
      <c r="X123" s="4">
        <v>0</v>
      </c>
      <c r="Y123" s="50">
        <f t="shared" si="103"/>
        <v>0</v>
      </c>
      <c r="Z123" s="5">
        <f t="shared" si="101"/>
        <v>0</v>
      </c>
      <c r="AA123" s="5">
        <f t="shared" si="102"/>
        <v>0</v>
      </c>
      <c r="AE123" s="4">
        <v>0</v>
      </c>
      <c r="AG123" s="5">
        <f t="shared" si="128"/>
        <v>0</v>
      </c>
    </row>
    <row r="124" spans="1:33" s="6" customFormat="1" ht="40.5" customHeight="1" x14ac:dyDescent="0.25">
      <c r="A124" s="106">
        <v>48</v>
      </c>
      <c r="B124" s="107" t="s">
        <v>69</v>
      </c>
      <c r="C124" s="97" t="s">
        <v>25</v>
      </c>
      <c r="D124" s="78" t="s">
        <v>37</v>
      </c>
      <c r="E124" s="78" t="s">
        <v>12</v>
      </c>
      <c r="F124" s="78" t="s">
        <v>12</v>
      </c>
      <c r="G124" s="78" t="s">
        <v>12</v>
      </c>
      <c r="H124" s="78" t="s">
        <v>12</v>
      </c>
      <c r="I124" s="59">
        <f t="shared" si="98"/>
        <v>33479374.539999999</v>
      </c>
      <c r="J124" s="59">
        <v>0</v>
      </c>
      <c r="K124" s="59">
        <v>33479374.539999999</v>
      </c>
      <c r="L124" s="59">
        <v>0</v>
      </c>
      <c r="M124" s="56">
        <v>0</v>
      </c>
      <c r="N124" s="56">
        <v>0</v>
      </c>
      <c r="O124" s="56">
        <v>0</v>
      </c>
      <c r="P124" s="56">
        <v>0</v>
      </c>
      <c r="Q124" s="56">
        <v>0</v>
      </c>
      <c r="R124" s="56">
        <v>0</v>
      </c>
      <c r="S124" s="5"/>
      <c r="T124" s="4">
        <v>0</v>
      </c>
      <c r="U124" s="5">
        <f t="shared" si="124"/>
        <v>0</v>
      </c>
      <c r="V124" s="4">
        <v>0</v>
      </c>
      <c r="W124" s="4">
        <v>0</v>
      </c>
      <c r="X124" s="4">
        <v>0</v>
      </c>
      <c r="Y124" s="50">
        <f t="shared" si="103"/>
        <v>0</v>
      </c>
      <c r="Z124" s="5">
        <f t="shared" si="101"/>
        <v>0</v>
      </c>
      <c r="AA124" s="5">
        <f t="shared" si="102"/>
        <v>0</v>
      </c>
      <c r="AE124" s="4">
        <v>0</v>
      </c>
      <c r="AG124" s="5">
        <f t="shared" si="128"/>
        <v>0</v>
      </c>
    </row>
    <row r="125" spans="1:33" s="6" customFormat="1" ht="40.5" customHeight="1" x14ac:dyDescent="0.25">
      <c r="A125" s="106"/>
      <c r="B125" s="107"/>
      <c r="C125" s="97"/>
      <c r="D125" s="78" t="s">
        <v>30</v>
      </c>
      <c r="E125" s="78" t="s">
        <v>12</v>
      </c>
      <c r="F125" s="78" t="s">
        <v>12</v>
      </c>
      <c r="G125" s="78" t="s">
        <v>12</v>
      </c>
      <c r="H125" s="78" t="s">
        <v>12</v>
      </c>
      <c r="I125" s="59">
        <f t="shared" si="98"/>
        <v>13019756.76</v>
      </c>
      <c r="J125" s="59">
        <v>0</v>
      </c>
      <c r="K125" s="59">
        <v>13019756.76</v>
      </c>
      <c r="L125" s="59">
        <v>0</v>
      </c>
      <c r="M125" s="56">
        <v>0</v>
      </c>
      <c r="N125" s="56">
        <v>0</v>
      </c>
      <c r="O125" s="56">
        <v>0</v>
      </c>
      <c r="P125" s="56">
        <v>0</v>
      </c>
      <c r="Q125" s="56">
        <v>0</v>
      </c>
      <c r="R125" s="56">
        <v>0</v>
      </c>
      <c r="S125" s="5"/>
      <c r="T125" s="4">
        <v>0</v>
      </c>
      <c r="U125" s="5">
        <f t="shared" si="124"/>
        <v>0</v>
      </c>
      <c r="V125" s="4">
        <v>0</v>
      </c>
      <c r="W125" s="4">
        <v>0</v>
      </c>
      <c r="X125" s="4">
        <v>0</v>
      </c>
      <c r="Y125" s="50">
        <f t="shared" si="103"/>
        <v>0</v>
      </c>
      <c r="Z125" s="5">
        <f t="shared" si="101"/>
        <v>0</v>
      </c>
      <c r="AA125" s="5">
        <f t="shared" si="102"/>
        <v>0</v>
      </c>
      <c r="AE125" s="4">
        <v>0</v>
      </c>
      <c r="AG125" s="5">
        <f t="shared" si="128"/>
        <v>0</v>
      </c>
    </row>
    <row r="126" spans="1:33" s="6" customFormat="1" ht="40.5" customHeight="1" x14ac:dyDescent="0.25">
      <c r="A126" s="106">
        <v>49</v>
      </c>
      <c r="B126" s="107" t="s">
        <v>70</v>
      </c>
      <c r="C126" s="97" t="s">
        <v>25</v>
      </c>
      <c r="D126" s="78" t="s">
        <v>37</v>
      </c>
      <c r="E126" s="78" t="s">
        <v>12</v>
      </c>
      <c r="F126" s="78" t="s">
        <v>12</v>
      </c>
      <c r="G126" s="78" t="s">
        <v>12</v>
      </c>
      <c r="H126" s="78" t="s">
        <v>12</v>
      </c>
      <c r="I126" s="59">
        <f t="shared" si="98"/>
        <v>0</v>
      </c>
      <c r="J126" s="59">
        <v>0</v>
      </c>
      <c r="K126" s="59">
        <v>0</v>
      </c>
      <c r="L126" s="59">
        <v>0</v>
      </c>
      <c r="M126" s="56">
        <v>0</v>
      </c>
      <c r="N126" s="56">
        <v>0</v>
      </c>
      <c r="O126" s="56">
        <v>0</v>
      </c>
      <c r="P126" s="56">
        <v>0</v>
      </c>
      <c r="Q126" s="56">
        <v>0</v>
      </c>
      <c r="R126" s="56">
        <v>0</v>
      </c>
      <c r="S126" s="5"/>
      <c r="T126" s="4">
        <v>0</v>
      </c>
      <c r="U126" s="5">
        <f t="shared" si="124"/>
        <v>0</v>
      </c>
      <c r="V126" s="4">
        <v>0</v>
      </c>
      <c r="W126" s="4">
        <v>0</v>
      </c>
      <c r="X126" s="4">
        <v>0</v>
      </c>
      <c r="Y126" s="50">
        <f t="shared" si="103"/>
        <v>0</v>
      </c>
      <c r="Z126" s="5">
        <f t="shared" si="101"/>
        <v>0</v>
      </c>
      <c r="AA126" s="5">
        <f t="shared" si="102"/>
        <v>0</v>
      </c>
      <c r="AE126" s="4">
        <v>0</v>
      </c>
      <c r="AG126" s="5">
        <f t="shared" si="128"/>
        <v>0</v>
      </c>
    </row>
    <row r="127" spans="1:33" s="6" customFormat="1" ht="40.5" customHeight="1" x14ac:dyDescent="0.25">
      <c r="A127" s="106"/>
      <c r="B127" s="107"/>
      <c r="C127" s="97"/>
      <c r="D127" s="78" t="s">
        <v>30</v>
      </c>
      <c r="E127" s="78" t="s">
        <v>12</v>
      </c>
      <c r="F127" s="78" t="s">
        <v>12</v>
      </c>
      <c r="G127" s="78" t="s">
        <v>12</v>
      </c>
      <c r="H127" s="78" t="s">
        <v>12</v>
      </c>
      <c r="I127" s="59">
        <f t="shared" si="98"/>
        <v>0</v>
      </c>
      <c r="J127" s="59">
        <v>0</v>
      </c>
      <c r="K127" s="59">
        <v>0</v>
      </c>
      <c r="L127" s="59">
        <v>0</v>
      </c>
      <c r="M127" s="56">
        <v>0</v>
      </c>
      <c r="N127" s="56">
        <v>0</v>
      </c>
      <c r="O127" s="56">
        <v>0</v>
      </c>
      <c r="P127" s="56">
        <v>0</v>
      </c>
      <c r="Q127" s="56">
        <v>0</v>
      </c>
      <c r="R127" s="56">
        <v>0</v>
      </c>
      <c r="S127" s="5"/>
      <c r="T127" s="4">
        <v>0</v>
      </c>
      <c r="U127" s="5">
        <f t="shared" si="124"/>
        <v>0</v>
      </c>
      <c r="V127" s="4">
        <v>0</v>
      </c>
      <c r="W127" s="4">
        <v>0</v>
      </c>
      <c r="X127" s="4">
        <v>0</v>
      </c>
      <c r="Y127" s="50">
        <f t="shared" si="103"/>
        <v>0</v>
      </c>
      <c r="Z127" s="5">
        <f t="shared" si="101"/>
        <v>0</v>
      </c>
      <c r="AA127" s="5">
        <f t="shared" si="102"/>
        <v>0</v>
      </c>
      <c r="AE127" s="4">
        <v>0</v>
      </c>
      <c r="AG127" s="5">
        <f t="shared" si="128"/>
        <v>0</v>
      </c>
    </row>
    <row r="128" spans="1:33" s="6" customFormat="1" ht="40.5" customHeight="1" x14ac:dyDescent="0.25">
      <c r="A128" s="106">
        <v>50</v>
      </c>
      <c r="B128" s="107" t="s">
        <v>38</v>
      </c>
      <c r="C128" s="97"/>
      <c r="D128" s="78" t="s">
        <v>37</v>
      </c>
      <c r="E128" s="78" t="s">
        <v>12</v>
      </c>
      <c r="F128" s="78" t="s">
        <v>12</v>
      </c>
      <c r="G128" s="78" t="s">
        <v>12</v>
      </c>
      <c r="H128" s="78" t="s">
        <v>12</v>
      </c>
      <c r="I128" s="59">
        <f t="shared" si="98"/>
        <v>100438120</v>
      </c>
      <c r="J128" s="59">
        <v>0</v>
      </c>
      <c r="K128" s="59">
        <f>SUM(K122+K124+K126)</f>
        <v>100438120</v>
      </c>
      <c r="L128" s="59">
        <v>0</v>
      </c>
      <c r="M128" s="56">
        <v>0</v>
      </c>
      <c r="N128" s="56">
        <v>0</v>
      </c>
      <c r="O128" s="56">
        <v>0</v>
      </c>
      <c r="P128" s="56">
        <v>0</v>
      </c>
      <c r="Q128" s="56">
        <v>0</v>
      </c>
      <c r="R128" s="56">
        <v>0</v>
      </c>
      <c r="S128" s="5"/>
      <c r="T128" s="4">
        <v>0</v>
      </c>
      <c r="U128" s="5">
        <f t="shared" si="124"/>
        <v>0</v>
      </c>
      <c r="V128" s="4">
        <v>0</v>
      </c>
      <c r="W128" s="4">
        <v>0</v>
      </c>
      <c r="X128" s="4">
        <v>0</v>
      </c>
      <c r="Y128" s="50">
        <f t="shared" si="103"/>
        <v>0</v>
      </c>
      <c r="Z128" s="5">
        <f t="shared" ref="Z128:Z143" si="136">P128-W128</f>
        <v>0</v>
      </c>
      <c r="AA128" s="5">
        <f t="shared" ref="AA128:AA143" si="137">R128-X128</f>
        <v>0</v>
      </c>
      <c r="AE128" s="4">
        <v>0</v>
      </c>
      <c r="AG128" s="5">
        <f t="shared" si="128"/>
        <v>0</v>
      </c>
    </row>
    <row r="129" spans="1:33" s="6" customFormat="1" ht="40.5" customHeight="1" x14ac:dyDescent="0.25">
      <c r="A129" s="106"/>
      <c r="B129" s="107"/>
      <c r="C129" s="97"/>
      <c r="D129" s="78" t="s">
        <v>30</v>
      </c>
      <c r="E129" s="78" t="s">
        <v>12</v>
      </c>
      <c r="F129" s="78" t="s">
        <v>12</v>
      </c>
      <c r="G129" s="78" t="s">
        <v>12</v>
      </c>
      <c r="H129" s="78" t="s">
        <v>12</v>
      </c>
      <c r="I129" s="59">
        <f t="shared" si="98"/>
        <v>39059268.890000001</v>
      </c>
      <c r="J129" s="59">
        <v>0</v>
      </c>
      <c r="K129" s="59">
        <f>SUM(K123+K125+K127)</f>
        <v>39059268.890000001</v>
      </c>
      <c r="L129" s="59">
        <v>0</v>
      </c>
      <c r="M129" s="56">
        <v>0</v>
      </c>
      <c r="N129" s="56">
        <v>0</v>
      </c>
      <c r="O129" s="56">
        <v>0</v>
      </c>
      <c r="P129" s="56">
        <v>0</v>
      </c>
      <c r="Q129" s="56">
        <v>0</v>
      </c>
      <c r="R129" s="56">
        <v>0</v>
      </c>
      <c r="S129" s="5"/>
      <c r="T129" s="4">
        <v>0</v>
      </c>
      <c r="U129" s="5">
        <f t="shared" si="124"/>
        <v>0</v>
      </c>
      <c r="V129" s="4">
        <v>0</v>
      </c>
      <c r="W129" s="4">
        <v>0</v>
      </c>
      <c r="X129" s="4">
        <v>0</v>
      </c>
      <c r="Y129" s="50">
        <f t="shared" ref="Y129:Y143" si="138">O129-V129</f>
        <v>0</v>
      </c>
      <c r="Z129" s="5">
        <f t="shared" si="136"/>
        <v>0</v>
      </c>
      <c r="AA129" s="5">
        <f t="shared" si="137"/>
        <v>0</v>
      </c>
      <c r="AE129" s="4">
        <v>0</v>
      </c>
      <c r="AG129" s="5">
        <f t="shared" si="128"/>
        <v>0</v>
      </c>
    </row>
    <row r="130" spans="1:33" s="6" customFormat="1" ht="60" hidden="1" customHeight="1" x14ac:dyDescent="0.25">
      <c r="A130" s="106">
        <v>43</v>
      </c>
      <c r="B130" s="108" t="s">
        <v>77</v>
      </c>
      <c r="C130" s="97" t="s">
        <v>25</v>
      </c>
      <c r="D130" s="78" t="s">
        <v>37</v>
      </c>
      <c r="E130" s="78" t="s">
        <v>12</v>
      </c>
      <c r="F130" s="78" t="s">
        <v>12</v>
      </c>
      <c r="G130" s="78" t="s">
        <v>12</v>
      </c>
      <c r="H130" s="78" t="s">
        <v>12</v>
      </c>
      <c r="I130" s="59">
        <f t="shared" si="98"/>
        <v>0</v>
      </c>
      <c r="J130" s="59">
        <v>0</v>
      </c>
      <c r="K130" s="59">
        <v>0</v>
      </c>
      <c r="L130" s="59">
        <v>0</v>
      </c>
      <c r="M130" s="56">
        <v>0</v>
      </c>
      <c r="N130" s="56">
        <v>0</v>
      </c>
      <c r="O130" s="56">
        <v>0</v>
      </c>
      <c r="P130" s="56">
        <v>0</v>
      </c>
      <c r="Q130" s="56">
        <v>0</v>
      </c>
      <c r="R130" s="56">
        <v>0</v>
      </c>
      <c r="S130" s="5"/>
      <c r="T130" s="4">
        <v>0</v>
      </c>
      <c r="U130" s="5">
        <f t="shared" si="124"/>
        <v>0</v>
      </c>
      <c r="V130" s="4">
        <v>0</v>
      </c>
      <c r="W130" s="4">
        <v>0</v>
      </c>
      <c r="X130" s="4">
        <v>0</v>
      </c>
      <c r="Y130" s="50">
        <f t="shared" si="138"/>
        <v>0</v>
      </c>
      <c r="Z130" s="5">
        <f t="shared" si="136"/>
        <v>0</v>
      </c>
      <c r="AA130" s="5">
        <f t="shared" si="137"/>
        <v>0</v>
      </c>
      <c r="AE130" s="4">
        <v>0</v>
      </c>
      <c r="AG130" s="5">
        <f t="shared" si="128"/>
        <v>0</v>
      </c>
    </row>
    <row r="131" spans="1:33" s="6" customFormat="1" ht="63.75" hidden="1" customHeight="1" x14ac:dyDescent="0.25">
      <c r="A131" s="106"/>
      <c r="B131" s="109"/>
      <c r="C131" s="97"/>
      <c r="D131" s="78" t="s">
        <v>30</v>
      </c>
      <c r="E131" s="78" t="s">
        <v>12</v>
      </c>
      <c r="F131" s="78" t="s">
        <v>12</v>
      </c>
      <c r="G131" s="78" t="s">
        <v>12</v>
      </c>
      <c r="H131" s="78" t="s">
        <v>12</v>
      </c>
      <c r="I131" s="59">
        <f t="shared" si="98"/>
        <v>0</v>
      </c>
      <c r="J131" s="59">
        <v>0</v>
      </c>
      <c r="K131" s="59">
        <v>0</v>
      </c>
      <c r="L131" s="59">
        <v>0</v>
      </c>
      <c r="M131" s="56">
        <v>0</v>
      </c>
      <c r="N131" s="56">
        <v>0</v>
      </c>
      <c r="O131" s="56">
        <v>0</v>
      </c>
      <c r="P131" s="56">
        <v>0</v>
      </c>
      <c r="Q131" s="56">
        <v>0</v>
      </c>
      <c r="R131" s="56">
        <v>0</v>
      </c>
      <c r="S131" s="5"/>
      <c r="T131" s="4">
        <v>0</v>
      </c>
      <c r="U131" s="5">
        <f t="shared" si="124"/>
        <v>0</v>
      </c>
      <c r="V131" s="4">
        <v>0</v>
      </c>
      <c r="W131" s="4">
        <v>0</v>
      </c>
      <c r="X131" s="4">
        <v>0</v>
      </c>
      <c r="Y131" s="50">
        <f t="shared" si="138"/>
        <v>0</v>
      </c>
      <c r="Z131" s="5">
        <f t="shared" si="136"/>
        <v>0</v>
      </c>
      <c r="AA131" s="5">
        <f t="shared" si="137"/>
        <v>0</v>
      </c>
      <c r="AE131" s="4">
        <v>0</v>
      </c>
      <c r="AG131" s="5">
        <f t="shared" si="128"/>
        <v>0</v>
      </c>
    </row>
    <row r="132" spans="1:33" s="6" customFormat="1" ht="40.5" hidden="1" customHeight="1" x14ac:dyDescent="0.25">
      <c r="A132" s="106">
        <v>44</v>
      </c>
      <c r="B132" s="108" t="s">
        <v>71</v>
      </c>
      <c r="C132" s="97" t="s">
        <v>25</v>
      </c>
      <c r="D132" s="78" t="s">
        <v>37</v>
      </c>
      <c r="E132" s="78" t="s">
        <v>12</v>
      </c>
      <c r="F132" s="78" t="s">
        <v>12</v>
      </c>
      <c r="G132" s="78" t="s">
        <v>12</v>
      </c>
      <c r="H132" s="78" t="s">
        <v>12</v>
      </c>
      <c r="I132" s="59">
        <f t="shared" si="98"/>
        <v>0</v>
      </c>
      <c r="J132" s="59">
        <v>0</v>
      </c>
      <c r="K132" s="59">
        <v>0</v>
      </c>
      <c r="L132" s="59">
        <v>0</v>
      </c>
      <c r="M132" s="56">
        <v>0</v>
      </c>
      <c r="N132" s="56">
        <v>0</v>
      </c>
      <c r="O132" s="56">
        <v>0</v>
      </c>
      <c r="P132" s="56">
        <v>0</v>
      </c>
      <c r="Q132" s="56">
        <v>0</v>
      </c>
      <c r="R132" s="56">
        <v>0</v>
      </c>
      <c r="S132" s="5"/>
      <c r="T132" s="4">
        <v>0</v>
      </c>
      <c r="U132" s="5">
        <f t="shared" si="124"/>
        <v>0</v>
      </c>
      <c r="V132" s="4">
        <v>0</v>
      </c>
      <c r="W132" s="4">
        <v>0</v>
      </c>
      <c r="X132" s="4">
        <v>0</v>
      </c>
      <c r="Y132" s="50">
        <f t="shared" si="138"/>
        <v>0</v>
      </c>
      <c r="Z132" s="5">
        <f t="shared" si="136"/>
        <v>0</v>
      </c>
      <c r="AA132" s="5">
        <f t="shared" si="137"/>
        <v>0</v>
      </c>
      <c r="AE132" s="4">
        <v>0</v>
      </c>
      <c r="AG132" s="5">
        <f t="shared" si="128"/>
        <v>0</v>
      </c>
    </row>
    <row r="133" spans="1:33" s="6" customFormat="1" ht="51" hidden="1" customHeight="1" x14ac:dyDescent="0.25">
      <c r="A133" s="106"/>
      <c r="B133" s="109"/>
      <c r="C133" s="97"/>
      <c r="D133" s="78" t="s">
        <v>30</v>
      </c>
      <c r="E133" s="78" t="s">
        <v>12</v>
      </c>
      <c r="F133" s="78" t="s">
        <v>12</v>
      </c>
      <c r="G133" s="78" t="s">
        <v>12</v>
      </c>
      <c r="H133" s="78" t="s">
        <v>12</v>
      </c>
      <c r="I133" s="59">
        <f t="shared" si="98"/>
        <v>0</v>
      </c>
      <c r="J133" s="59">
        <v>0</v>
      </c>
      <c r="K133" s="59">
        <v>0</v>
      </c>
      <c r="L133" s="59">
        <v>0</v>
      </c>
      <c r="M133" s="56">
        <v>0</v>
      </c>
      <c r="N133" s="56">
        <v>0</v>
      </c>
      <c r="O133" s="56">
        <v>0</v>
      </c>
      <c r="P133" s="56">
        <v>0</v>
      </c>
      <c r="Q133" s="56">
        <v>0</v>
      </c>
      <c r="R133" s="56">
        <v>0</v>
      </c>
      <c r="S133" s="5"/>
      <c r="T133" s="4">
        <v>0</v>
      </c>
      <c r="U133" s="5">
        <f t="shared" si="124"/>
        <v>0</v>
      </c>
      <c r="V133" s="4">
        <v>0</v>
      </c>
      <c r="W133" s="4">
        <v>0</v>
      </c>
      <c r="X133" s="4">
        <v>0</v>
      </c>
      <c r="Y133" s="50">
        <f t="shared" si="138"/>
        <v>0</v>
      </c>
      <c r="Z133" s="5">
        <f t="shared" si="136"/>
        <v>0</v>
      </c>
      <c r="AA133" s="5">
        <f t="shared" si="137"/>
        <v>0</v>
      </c>
      <c r="AE133" s="4">
        <v>0</v>
      </c>
      <c r="AG133" s="5">
        <f t="shared" si="128"/>
        <v>0</v>
      </c>
    </row>
    <row r="134" spans="1:33" s="6" customFormat="1" ht="48.75" hidden="1" customHeight="1" x14ac:dyDescent="0.25">
      <c r="A134" s="106">
        <v>45</v>
      </c>
      <c r="B134" s="107" t="s">
        <v>39</v>
      </c>
      <c r="C134" s="97"/>
      <c r="D134" s="78" t="s">
        <v>37</v>
      </c>
      <c r="E134" s="78" t="s">
        <v>12</v>
      </c>
      <c r="F134" s="78" t="s">
        <v>12</v>
      </c>
      <c r="G134" s="78" t="s">
        <v>12</v>
      </c>
      <c r="H134" s="78" t="s">
        <v>12</v>
      </c>
      <c r="I134" s="59">
        <f t="shared" si="98"/>
        <v>0</v>
      </c>
      <c r="J134" s="59">
        <v>0</v>
      </c>
      <c r="K134" s="59">
        <v>0</v>
      </c>
      <c r="L134" s="59">
        <v>0</v>
      </c>
      <c r="M134" s="56">
        <v>0</v>
      </c>
      <c r="N134" s="56">
        <v>0</v>
      </c>
      <c r="O134" s="56">
        <v>0</v>
      </c>
      <c r="P134" s="56">
        <v>0</v>
      </c>
      <c r="Q134" s="56">
        <v>0</v>
      </c>
      <c r="R134" s="56">
        <v>0</v>
      </c>
      <c r="S134" s="5"/>
      <c r="T134" s="4">
        <v>0</v>
      </c>
      <c r="U134" s="5">
        <f t="shared" si="124"/>
        <v>0</v>
      </c>
      <c r="V134" s="4">
        <v>0</v>
      </c>
      <c r="W134" s="4">
        <v>0</v>
      </c>
      <c r="X134" s="4">
        <v>0</v>
      </c>
      <c r="Y134" s="50">
        <f t="shared" si="138"/>
        <v>0</v>
      </c>
      <c r="Z134" s="5">
        <f t="shared" si="136"/>
        <v>0</v>
      </c>
      <c r="AA134" s="5">
        <f t="shared" si="137"/>
        <v>0</v>
      </c>
      <c r="AE134" s="4">
        <v>0</v>
      </c>
      <c r="AG134" s="5">
        <f t="shared" si="128"/>
        <v>0</v>
      </c>
    </row>
    <row r="135" spans="1:33" s="6" customFormat="1" ht="47.25" hidden="1" customHeight="1" x14ac:dyDescent="0.25">
      <c r="A135" s="106"/>
      <c r="B135" s="107"/>
      <c r="C135" s="97"/>
      <c r="D135" s="78" t="s">
        <v>30</v>
      </c>
      <c r="E135" s="78" t="s">
        <v>12</v>
      </c>
      <c r="F135" s="78" t="s">
        <v>12</v>
      </c>
      <c r="G135" s="78" t="s">
        <v>12</v>
      </c>
      <c r="H135" s="78" t="s">
        <v>12</v>
      </c>
      <c r="I135" s="59">
        <f t="shared" si="98"/>
        <v>0</v>
      </c>
      <c r="J135" s="59">
        <v>0</v>
      </c>
      <c r="K135" s="59">
        <v>0</v>
      </c>
      <c r="L135" s="59">
        <v>0</v>
      </c>
      <c r="M135" s="56">
        <v>0</v>
      </c>
      <c r="N135" s="56">
        <v>0</v>
      </c>
      <c r="O135" s="56">
        <v>0</v>
      </c>
      <c r="P135" s="56">
        <v>0</v>
      </c>
      <c r="Q135" s="56">
        <v>0</v>
      </c>
      <c r="R135" s="56">
        <v>0</v>
      </c>
      <c r="S135" s="5"/>
      <c r="T135" s="4">
        <v>0</v>
      </c>
      <c r="U135" s="5">
        <f t="shared" si="124"/>
        <v>0</v>
      </c>
      <c r="V135" s="4">
        <v>0</v>
      </c>
      <c r="W135" s="4">
        <v>0</v>
      </c>
      <c r="X135" s="4">
        <v>0</v>
      </c>
      <c r="Y135" s="50">
        <f t="shared" si="138"/>
        <v>0</v>
      </c>
      <c r="Z135" s="5">
        <f t="shared" si="136"/>
        <v>0</v>
      </c>
      <c r="AA135" s="5">
        <f t="shared" si="137"/>
        <v>0</v>
      </c>
      <c r="AE135" s="4">
        <v>0</v>
      </c>
      <c r="AG135" s="5">
        <f t="shared" si="128"/>
        <v>0</v>
      </c>
    </row>
    <row r="136" spans="1:33" s="6" customFormat="1" ht="34.5" customHeight="1" x14ac:dyDescent="0.25">
      <c r="A136" s="81">
        <v>51</v>
      </c>
      <c r="B136" s="82" t="s">
        <v>22</v>
      </c>
      <c r="C136" s="78"/>
      <c r="D136" s="78"/>
      <c r="E136" s="78" t="s">
        <v>12</v>
      </c>
      <c r="F136" s="78" t="s">
        <v>12</v>
      </c>
      <c r="G136" s="78" t="s">
        <v>12</v>
      </c>
      <c r="H136" s="78" t="s">
        <v>12</v>
      </c>
      <c r="I136" s="59">
        <f t="shared" si="98"/>
        <v>139497388.88999999</v>
      </c>
      <c r="J136" s="59">
        <v>0</v>
      </c>
      <c r="K136" s="59">
        <f>SUM(K128:K129)</f>
        <v>139497388.88999999</v>
      </c>
      <c r="L136" s="59">
        <v>0</v>
      </c>
      <c r="M136" s="70">
        <v>0</v>
      </c>
      <c r="N136" s="56">
        <v>0</v>
      </c>
      <c r="O136" s="56">
        <v>0</v>
      </c>
      <c r="P136" s="56">
        <v>0</v>
      </c>
      <c r="Q136" s="56">
        <v>0</v>
      </c>
      <c r="R136" s="56">
        <v>0</v>
      </c>
      <c r="S136" s="5"/>
      <c r="T136" s="4">
        <v>0</v>
      </c>
      <c r="U136" s="5">
        <f t="shared" si="124"/>
        <v>0</v>
      </c>
      <c r="V136" s="4">
        <v>0</v>
      </c>
      <c r="W136" s="4">
        <v>0</v>
      </c>
      <c r="X136" s="4">
        <v>0</v>
      </c>
      <c r="Y136" s="50">
        <f t="shared" si="138"/>
        <v>0</v>
      </c>
      <c r="Z136" s="5">
        <f t="shared" si="136"/>
        <v>0</v>
      </c>
      <c r="AA136" s="5">
        <f t="shared" si="137"/>
        <v>0</v>
      </c>
      <c r="AE136" s="4">
        <v>0</v>
      </c>
      <c r="AG136" s="5">
        <f t="shared" si="128"/>
        <v>0</v>
      </c>
    </row>
    <row r="137" spans="1:33" s="6" customFormat="1" ht="27.75" customHeight="1" x14ac:dyDescent="0.25">
      <c r="A137" s="81">
        <v>52</v>
      </c>
      <c r="B137" s="82" t="s">
        <v>24</v>
      </c>
      <c r="C137" s="78"/>
      <c r="D137" s="78"/>
      <c r="E137" s="78"/>
      <c r="F137" s="78"/>
      <c r="G137" s="78"/>
      <c r="H137" s="78"/>
      <c r="I137" s="59">
        <f t="shared" si="98"/>
        <v>0</v>
      </c>
      <c r="J137" s="59"/>
      <c r="K137" s="59"/>
      <c r="L137" s="59"/>
      <c r="M137" s="56"/>
      <c r="N137" s="56"/>
      <c r="O137" s="56"/>
      <c r="P137" s="56"/>
      <c r="Q137" s="56"/>
      <c r="R137" s="56"/>
      <c r="S137" s="5"/>
      <c r="T137" s="4"/>
      <c r="U137" s="5">
        <f t="shared" si="124"/>
        <v>0</v>
      </c>
      <c r="V137" s="4"/>
      <c r="W137" s="4"/>
      <c r="X137" s="4"/>
      <c r="Y137" s="50">
        <f t="shared" si="138"/>
        <v>0</v>
      </c>
      <c r="Z137" s="5">
        <f t="shared" si="136"/>
        <v>0</v>
      </c>
      <c r="AA137" s="5">
        <f t="shared" si="137"/>
        <v>0</v>
      </c>
      <c r="AE137" s="4"/>
      <c r="AG137" s="5">
        <f t="shared" si="128"/>
        <v>0</v>
      </c>
    </row>
    <row r="138" spans="1:33" s="6" customFormat="1" ht="36" customHeight="1" x14ac:dyDescent="0.25">
      <c r="A138" s="81">
        <v>53</v>
      </c>
      <c r="B138" s="82" t="s">
        <v>37</v>
      </c>
      <c r="C138" s="78"/>
      <c r="D138" s="78"/>
      <c r="E138" s="78" t="s">
        <v>12</v>
      </c>
      <c r="F138" s="78" t="s">
        <v>12</v>
      </c>
      <c r="G138" s="78" t="s">
        <v>12</v>
      </c>
      <c r="H138" s="78" t="s">
        <v>12</v>
      </c>
      <c r="I138" s="59">
        <f t="shared" si="98"/>
        <v>100438120</v>
      </c>
      <c r="J138" s="59">
        <v>0</v>
      </c>
      <c r="K138" s="59">
        <f>SUM(K128)</f>
        <v>100438120</v>
      </c>
      <c r="L138" s="59">
        <v>0</v>
      </c>
      <c r="M138" s="56">
        <v>0</v>
      </c>
      <c r="N138" s="56">
        <v>0</v>
      </c>
      <c r="O138" s="56">
        <v>0</v>
      </c>
      <c r="P138" s="56">
        <v>0</v>
      </c>
      <c r="Q138" s="56">
        <v>0</v>
      </c>
      <c r="R138" s="56">
        <v>0</v>
      </c>
      <c r="S138" s="5"/>
      <c r="T138" s="4">
        <v>0</v>
      </c>
      <c r="U138" s="5">
        <f t="shared" si="124"/>
        <v>0</v>
      </c>
      <c r="V138" s="4">
        <v>0</v>
      </c>
      <c r="W138" s="4">
        <v>0</v>
      </c>
      <c r="X138" s="4">
        <v>0</v>
      </c>
      <c r="Y138" s="50">
        <f t="shared" si="138"/>
        <v>0</v>
      </c>
      <c r="Z138" s="5">
        <f t="shared" si="136"/>
        <v>0</v>
      </c>
      <c r="AA138" s="5">
        <f t="shared" si="137"/>
        <v>0</v>
      </c>
      <c r="AE138" s="4">
        <v>0</v>
      </c>
      <c r="AG138" s="5">
        <f t="shared" si="128"/>
        <v>0</v>
      </c>
    </row>
    <row r="139" spans="1:33" s="6" customFormat="1" ht="36" customHeight="1" x14ac:dyDescent="0.25">
      <c r="A139" s="81">
        <v>54</v>
      </c>
      <c r="B139" s="82" t="s">
        <v>30</v>
      </c>
      <c r="C139" s="78"/>
      <c r="D139" s="78"/>
      <c r="E139" s="78" t="s">
        <v>12</v>
      </c>
      <c r="F139" s="78" t="s">
        <v>12</v>
      </c>
      <c r="G139" s="78" t="s">
        <v>12</v>
      </c>
      <c r="H139" s="78" t="s">
        <v>12</v>
      </c>
      <c r="I139" s="59">
        <f t="shared" si="98"/>
        <v>39059268.890000001</v>
      </c>
      <c r="J139" s="59">
        <v>0</v>
      </c>
      <c r="K139" s="71">
        <f>K129</f>
        <v>39059268.890000001</v>
      </c>
      <c r="L139" s="59">
        <v>0</v>
      </c>
      <c r="M139" s="56">
        <v>0</v>
      </c>
      <c r="N139" s="56">
        <v>0</v>
      </c>
      <c r="O139" s="56">
        <v>0</v>
      </c>
      <c r="P139" s="56">
        <v>0</v>
      </c>
      <c r="Q139" s="56">
        <v>0</v>
      </c>
      <c r="R139" s="56">
        <v>0</v>
      </c>
      <c r="S139" s="5"/>
      <c r="T139" s="4">
        <v>0</v>
      </c>
      <c r="U139" s="5">
        <f t="shared" si="124"/>
        <v>0</v>
      </c>
      <c r="V139" s="4">
        <v>0</v>
      </c>
      <c r="W139" s="4">
        <v>0</v>
      </c>
      <c r="X139" s="4">
        <v>0</v>
      </c>
      <c r="Y139" s="50">
        <f t="shared" si="138"/>
        <v>0</v>
      </c>
      <c r="Z139" s="5">
        <f t="shared" si="136"/>
        <v>0</v>
      </c>
      <c r="AA139" s="5">
        <f t="shared" si="137"/>
        <v>0</v>
      </c>
      <c r="AE139" s="4">
        <v>0</v>
      </c>
      <c r="AG139" s="5">
        <f t="shared" si="128"/>
        <v>0</v>
      </c>
    </row>
    <row r="140" spans="1:33" s="26" customFormat="1" ht="39.75" customHeight="1" x14ac:dyDescent="0.25">
      <c r="A140" s="81">
        <v>55</v>
      </c>
      <c r="B140" s="82" t="s">
        <v>9</v>
      </c>
      <c r="C140" s="82"/>
      <c r="D140" s="82"/>
      <c r="E140" s="82" t="s">
        <v>12</v>
      </c>
      <c r="F140" s="82" t="s">
        <v>12</v>
      </c>
      <c r="G140" s="82" t="s">
        <v>12</v>
      </c>
      <c r="H140" s="82" t="s">
        <v>12</v>
      </c>
      <c r="I140" s="67">
        <f t="shared" si="98"/>
        <v>5527176254.0500011</v>
      </c>
      <c r="J140" s="67">
        <f>J13+J22+J31+J32</f>
        <v>390711350.44</v>
      </c>
      <c r="K140" s="72">
        <f>K142+K143+K144</f>
        <v>584295408.25</v>
      </c>
      <c r="L140" s="67">
        <f>L142+L143</f>
        <v>486748809.75000006</v>
      </c>
      <c r="M140" s="68">
        <f t="shared" ref="M140:R140" si="139">M143+M142+M144</f>
        <v>1046123196.23</v>
      </c>
      <c r="N140" s="68">
        <f t="shared" si="139"/>
        <v>918456354.80000007</v>
      </c>
      <c r="O140" s="68">
        <f t="shared" si="139"/>
        <v>581616442.1400001</v>
      </c>
      <c r="P140" s="68">
        <f t="shared" si="139"/>
        <v>532638877.57999998</v>
      </c>
      <c r="Q140" s="68">
        <f t="shared" si="139"/>
        <v>493286007.43000001</v>
      </c>
      <c r="R140" s="68">
        <f t="shared" si="139"/>
        <v>493299807.43000001</v>
      </c>
      <c r="S140" s="25"/>
      <c r="T140" s="13">
        <f>T143+T142+T144</f>
        <v>928770099.18999994</v>
      </c>
      <c r="U140" s="5">
        <f t="shared" si="124"/>
        <v>-10313744.389999866</v>
      </c>
      <c r="V140" s="13">
        <f>V143+V142+V144</f>
        <v>522124857.50999999</v>
      </c>
      <c r="W140" s="13">
        <f>W143+W142+W144</f>
        <v>582324316.02999997</v>
      </c>
      <c r="X140" s="13">
        <f>X143+X142+X144</f>
        <v>577082562.58999991</v>
      </c>
      <c r="Y140" s="50">
        <f t="shared" si="138"/>
        <v>59491584.630000114</v>
      </c>
      <c r="Z140" s="5">
        <f t="shared" si="136"/>
        <v>-49685438.449999988</v>
      </c>
      <c r="AA140" s="5">
        <f t="shared" si="137"/>
        <v>-83782755.159999907</v>
      </c>
      <c r="AE140" s="13">
        <f>AE143+AE142+AE144</f>
        <v>918456354.80000007</v>
      </c>
      <c r="AG140" s="5">
        <f t="shared" si="128"/>
        <v>0</v>
      </c>
    </row>
    <row r="141" spans="1:33" s="26" customFormat="1" ht="23.25" customHeight="1" x14ac:dyDescent="0.25">
      <c r="A141" s="81">
        <v>56</v>
      </c>
      <c r="B141" s="82" t="s">
        <v>24</v>
      </c>
      <c r="C141" s="82"/>
      <c r="D141" s="82"/>
      <c r="E141" s="82"/>
      <c r="F141" s="82"/>
      <c r="G141" s="82"/>
      <c r="H141" s="82"/>
      <c r="I141" s="67"/>
      <c r="J141" s="67"/>
      <c r="K141" s="67"/>
      <c r="L141" s="67"/>
      <c r="M141" s="68"/>
      <c r="N141" s="73"/>
      <c r="O141" s="68"/>
      <c r="P141" s="68"/>
      <c r="Q141" s="68"/>
      <c r="R141" s="68"/>
      <c r="S141" s="25"/>
      <c r="T141" s="14"/>
      <c r="U141" s="5">
        <f t="shared" si="124"/>
        <v>0</v>
      </c>
      <c r="V141" s="13"/>
      <c r="W141" s="13"/>
      <c r="X141" s="13"/>
      <c r="Y141" s="50">
        <f t="shared" si="138"/>
        <v>0</v>
      </c>
      <c r="Z141" s="5">
        <f t="shared" si="136"/>
        <v>0</v>
      </c>
      <c r="AA141" s="5">
        <f t="shared" si="137"/>
        <v>0</v>
      </c>
      <c r="AE141" s="14"/>
      <c r="AG141" s="5">
        <f t="shared" si="128"/>
        <v>0</v>
      </c>
    </row>
    <row r="142" spans="1:33" s="26" customFormat="1" ht="37.5" customHeight="1" x14ac:dyDescent="0.25">
      <c r="A142" s="81">
        <v>57</v>
      </c>
      <c r="B142" s="82" t="s">
        <v>8</v>
      </c>
      <c r="C142" s="82"/>
      <c r="D142" s="82"/>
      <c r="E142" s="82"/>
      <c r="F142" s="82"/>
      <c r="G142" s="82"/>
      <c r="H142" s="82"/>
      <c r="I142" s="67">
        <f t="shared" si="98"/>
        <v>4691799963.79</v>
      </c>
      <c r="J142" s="68">
        <f t="shared" ref="J142:K142" si="140">J15+J23+J29+J39+J41+J94+J44+J56+J57+J63+J64+J65+J83+J84+J85+J86+J88+J89+J95+J100</f>
        <v>384505850.43999994</v>
      </c>
      <c r="K142" s="68">
        <f t="shared" si="140"/>
        <v>439151691.36000007</v>
      </c>
      <c r="L142" s="68">
        <f>L15+L23+L29+L39+L41+L94+L44+L56+L57+L63+L64+L65+L83+L84+L85+L86+L88+L89+L95+L100</f>
        <v>478637326.45000005</v>
      </c>
      <c r="M142" s="68">
        <f>M15+M23+M29+M39+M41+M44+M56+M57+M63+M64+M65+M83+M84+M85+M86+M88+M89+M95+M100</f>
        <v>551321512.23000002</v>
      </c>
      <c r="N142" s="68">
        <f>N15+N23+N29+N39+N41+N44+N56+N57+N63+N64+N65+N83+N84+N85+N86+N88+N89+N95+N100</f>
        <v>878942406.91000009</v>
      </c>
      <c r="O142" s="68">
        <f>O15+O23+O29+O37+O39+O41+O44+O56+O57+O63+O64+O65+O83+O84+O85+O86+O88+O89+O95+O100</f>
        <v>540108064.11000013</v>
      </c>
      <c r="P142" s="68">
        <f t="shared" ref="P142:R142" si="141">P15+P23+P29+P37+P39+P41+P44+P56+P57+P63+P64+P65+P83+P84+P85+P86+P88+P89+P95+P100</f>
        <v>491105097.43000001</v>
      </c>
      <c r="Q142" s="68">
        <f t="shared" ref="Q142" si="142">Q15+Q23+Q29+Q37+Q39+Q41+Q44+Q56+Q57+Q63+Q64+Q65+Q83+Q84+Q85+Q86+Q88+Q89+Q95+Q100</f>
        <v>464014007.43000001</v>
      </c>
      <c r="R142" s="68">
        <f t="shared" si="141"/>
        <v>464014007.43000001</v>
      </c>
      <c r="S142" s="25"/>
      <c r="T142" s="13">
        <f>T10</f>
        <v>889256151.29999995</v>
      </c>
      <c r="U142" s="5">
        <f t="shared" ref="U142:U145" si="143">N142-T142</f>
        <v>-10313744.389999866</v>
      </c>
      <c r="V142" s="13">
        <f>V15+V23+V29+V39+V41+V44+V56+V57+V63+V64+V65+V83+V84+V85+V86+V88+V89+V95+V100</f>
        <v>488512658.48000002</v>
      </c>
      <c r="W142" s="13">
        <f>W15+W23+W29+W39+W41+W44+W56+W57+W63+W64+W65+W83+W84+W85+W86+W88+W89+W95+W100</f>
        <v>549442357.56999993</v>
      </c>
      <c r="X142" s="13">
        <f>X15+X23+X29+X39+X41+X44+X56+X57+X63+X64+X65+X83+X84+X85+X86+X88+X89+X95+X100</f>
        <v>549844357.56999993</v>
      </c>
      <c r="Y142" s="50">
        <f t="shared" si="138"/>
        <v>51595405.630000114</v>
      </c>
      <c r="Z142" s="5">
        <f t="shared" si="136"/>
        <v>-58337260.139999926</v>
      </c>
      <c r="AA142" s="5">
        <f t="shared" si="137"/>
        <v>-85830350.139999926</v>
      </c>
      <c r="AE142" s="13">
        <f>AE15+AE23+AE29+AE39+AE41+AE44+AE56+AE57+AE63+AE64+AE65+AE83+AE84+AE85+AE86+AE88+AE89+AE95+AE100</f>
        <v>878942406.91000009</v>
      </c>
      <c r="AG142" s="5">
        <f t="shared" si="128"/>
        <v>0</v>
      </c>
    </row>
    <row r="143" spans="1:33" s="26" customFormat="1" ht="37.5" customHeight="1" x14ac:dyDescent="0.25">
      <c r="A143" s="81">
        <v>58</v>
      </c>
      <c r="B143" s="82" t="s">
        <v>30</v>
      </c>
      <c r="C143" s="82"/>
      <c r="D143" s="82"/>
      <c r="E143" s="82"/>
      <c r="F143" s="82"/>
      <c r="G143" s="82"/>
      <c r="H143" s="82"/>
      <c r="I143" s="67">
        <f t="shared" si="98"/>
        <v>734444288.25999999</v>
      </c>
      <c r="J143" s="68">
        <f>J14+J66+J81+J119+J40+J82+J80</f>
        <v>6205500</v>
      </c>
      <c r="K143" s="68">
        <f t="shared" ref="K143:R143" si="144">K14+K66+K81+K119+K40+K82+K80</f>
        <v>44705596.890000001</v>
      </c>
      <c r="L143" s="68">
        <f t="shared" si="144"/>
        <v>8111483.2999999998</v>
      </c>
      <c r="M143" s="68">
        <f t="shared" si="144"/>
        <v>494801684</v>
      </c>
      <c r="N143" s="68">
        <f t="shared" si="144"/>
        <v>39020065.890000001</v>
      </c>
      <c r="O143" s="68">
        <f t="shared" si="144"/>
        <v>41508378.030000001</v>
      </c>
      <c r="P143" s="68">
        <f t="shared" si="144"/>
        <v>41533780.149999999</v>
      </c>
      <c r="Q143" s="68">
        <f t="shared" ref="Q143" si="145">Q14+Q66+Q81+Q119+Q40+Q82+Q80</f>
        <v>29272000</v>
      </c>
      <c r="R143" s="68">
        <f t="shared" si="144"/>
        <v>29285800</v>
      </c>
      <c r="S143" s="25"/>
      <c r="T143" s="13">
        <f>T11</f>
        <v>39020065.890000001</v>
      </c>
      <c r="U143" s="5">
        <f t="shared" si="143"/>
        <v>0</v>
      </c>
      <c r="V143" s="13">
        <f>V11</f>
        <v>33612199.030000001</v>
      </c>
      <c r="W143" s="13">
        <f>W11</f>
        <v>32881958.460000001</v>
      </c>
      <c r="X143" s="13">
        <f>X11</f>
        <v>27238205.02</v>
      </c>
      <c r="Y143" s="50">
        <f t="shared" si="138"/>
        <v>7896179</v>
      </c>
      <c r="Z143" s="5">
        <f t="shared" si="136"/>
        <v>8651821.6899999976</v>
      </c>
      <c r="AA143" s="5">
        <f t="shared" si="137"/>
        <v>2047594.9800000004</v>
      </c>
      <c r="AE143" s="13">
        <f>AE14+AE66+AE81</f>
        <v>39020065.890000001</v>
      </c>
      <c r="AG143" s="5">
        <f t="shared" si="128"/>
        <v>0</v>
      </c>
    </row>
    <row r="144" spans="1:33" s="26" customFormat="1" ht="37.5" customHeight="1" x14ac:dyDescent="0.25">
      <c r="A144" s="81">
        <v>59</v>
      </c>
      <c r="B144" s="63" t="s">
        <v>37</v>
      </c>
      <c r="C144" s="63"/>
      <c r="D144" s="63"/>
      <c r="E144" s="63"/>
      <c r="F144" s="63"/>
      <c r="G144" s="63"/>
      <c r="H144" s="63"/>
      <c r="I144" s="67">
        <f t="shared" si="98"/>
        <v>100932002</v>
      </c>
      <c r="J144" s="72">
        <v>0</v>
      </c>
      <c r="K144" s="72">
        <f>K138</f>
        <v>100438120</v>
      </c>
      <c r="L144" s="72">
        <v>0</v>
      </c>
      <c r="M144" s="68">
        <v>0</v>
      </c>
      <c r="N144" s="68">
        <f>N67</f>
        <v>493882</v>
      </c>
      <c r="O144" s="68">
        <v>0</v>
      </c>
      <c r="P144" s="68">
        <v>0</v>
      </c>
      <c r="Q144" s="68">
        <v>0</v>
      </c>
      <c r="R144" s="68">
        <v>0</v>
      </c>
      <c r="S144" s="25"/>
      <c r="T144" s="13">
        <f>T12</f>
        <v>493882</v>
      </c>
      <c r="U144" s="5">
        <f t="shared" si="143"/>
        <v>0</v>
      </c>
      <c r="Y144" s="52"/>
      <c r="AE144" s="13">
        <f>AE67</f>
        <v>493882</v>
      </c>
      <c r="AG144" s="5">
        <f t="shared" si="128"/>
        <v>0</v>
      </c>
    </row>
    <row r="145" spans="1:31" ht="15.75" customHeight="1" x14ac:dyDescent="0.25">
      <c r="A145" s="74"/>
      <c r="B145" s="136"/>
      <c r="C145" s="136"/>
      <c r="D145" s="136"/>
      <c r="E145" s="74"/>
      <c r="F145" s="74"/>
      <c r="G145" s="74"/>
      <c r="H145" s="74"/>
      <c r="I145" s="140"/>
      <c r="J145" s="140"/>
      <c r="K145" s="140"/>
      <c r="L145" s="140"/>
      <c r="M145" s="74"/>
      <c r="N145" s="74"/>
      <c r="O145" s="74"/>
      <c r="P145" s="74"/>
      <c r="Q145" s="74"/>
      <c r="R145" s="74"/>
      <c r="S145" s="5"/>
      <c r="U145" s="5">
        <f t="shared" si="143"/>
        <v>0</v>
      </c>
    </row>
    <row r="146" spans="1:31" ht="41.25" customHeight="1" x14ac:dyDescent="0.25">
      <c r="A146" s="74"/>
      <c r="B146" s="142" t="s">
        <v>94</v>
      </c>
      <c r="C146" s="142"/>
      <c r="D146" s="142"/>
      <c r="E146" s="74"/>
      <c r="F146" s="74"/>
      <c r="G146" s="74"/>
      <c r="H146" s="74"/>
      <c r="I146" s="141"/>
      <c r="J146" s="141"/>
      <c r="K146" s="141"/>
      <c r="L146" s="141"/>
      <c r="M146" s="74"/>
      <c r="N146" s="143" t="s">
        <v>121</v>
      </c>
      <c r="O146" s="143"/>
      <c r="P146" s="143"/>
      <c r="Q146" s="143"/>
      <c r="R146" s="143"/>
      <c r="U146" s="5"/>
    </row>
    <row r="147" spans="1:31" s="30" customFormat="1" ht="53.25" customHeight="1" x14ac:dyDescent="0.3">
      <c r="A147" s="75"/>
      <c r="B147" s="142"/>
      <c r="C147" s="142"/>
      <c r="D147" s="142"/>
      <c r="E147" s="76"/>
      <c r="F147" s="76"/>
      <c r="G147" s="76"/>
      <c r="H147" s="76"/>
      <c r="I147" s="76"/>
      <c r="J147" s="76"/>
      <c r="K147" s="77"/>
      <c r="L147" s="77"/>
      <c r="M147" s="77"/>
      <c r="N147" s="143"/>
      <c r="O147" s="143"/>
      <c r="P147" s="143"/>
      <c r="Q147" s="143"/>
      <c r="R147" s="143"/>
      <c r="S147" s="9"/>
      <c r="Y147" s="53"/>
    </row>
    <row r="148" spans="1:31" s="30" customFormat="1" ht="40.5" customHeight="1" x14ac:dyDescent="0.3">
      <c r="A148" s="27"/>
      <c r="B148" s="32"/>
      <c r="C148" s="32"/>
      <c r="D148" s="32"/>
      <c r="E148" s="28"/>
      <c r="F148" s="28"/>
      <c r="G148" s="28"/>
      <c r="H148" s="28"/>
      <c r="I148" s="28"/>
      <c r="J148" s="28"/>
      <c r="K148" s="29"/>
      <c r="L148" s="29"/>
      <c r="M148" s="29"/>
      <c r="N148" s="36"/>
      <c r="O148" s="15">
        <v>545416615.65999997</v>
      </c>
      <c r="P148" s="33"/>
      <c r="Q148" s="47"/>
      <c r="R148" s="33"/>
      <c r="S148" s="9"/>
      <c r="T148" s="36"/>
      <c r="U148" s="37"/>
      <c r="Y148" s="53"/>
      <c r="AE148" s="36"/>
    </row>
    <row r="149" spans="1:31" ht="30.75" customHeight="1" x14ac:dyDescent="0.25">
      <c r="B149" s="135"/>
      <c r="C149" s="135"/>
      <c r="D149" s="135"/>
      <c r="M149" s="15">
        <f>N149-N143-N144-N161</f>
        <v>839695341.21000004</v>
      </c>
      <c r="N149" s="15">
        <f>N17+N18+N19+N29+N41+N43+N40+N56+N63+N64+N66+N67+N73+N76+N78+N83+N84+N94</f>
        <v>898832821.95000005</v>
      </c>
      <c r="O149" s="15">
        <f>O17+O18+O19+O29+O41+O43+O40+O56+O63+O64+O66+O67+O73+O76+O78+O83+O84+O94+O21+O37+O77</f>
        <v>545416615.66000009</v>
      </c>
      <c r="P149" s="15">
        <f>P17+P18+P19+P29+P41+P43+P40+P56+P63+P64+P66+P67+P73+P76+P78+P83+P84+P94+P21+P37+P77</f>
        <v>494805076.57999998</v>
      </c>
      <c r="Q149" s="15">
        <f t="shared" ref="Q149:U149" si="146">Q17+Q18+Q19+Q29+Q41+Q43+Q40+Q56+Q63+Q64+Q66+Q67+Q73+Q76+Q78+Q83+Q84+Q94+Q21+Q37+Q77</f>
        <v>455452206.43000001</v>
      </c>
      <c r="R149" s="15">
        <f t="shared" si="146"/>
        <v>455466006.43000001</v>
      </c>
      <c r="S149" s="15">
        <f t="shared" si="146"/>
        <v>15804431.9</v>
      </c>
      <c r="T149" s="15">
        <f t="shared" si="146"/>
        <v>1251648468.3899999</v>
      </c>
      <c r="U149" s="15">
        <f t="shared" si="146"/>
        <v>-835089.05999999493</v>
      </c>
      <c r="AE149" s="15">
        <f>AE17+AE18+AE19+AE29+AE41+AE43+AE40+AE56+AE63+AE64+AE66+AE67+AE73+AE76+AE78+AE83+AE84+AE94</f>
        <v>898832821.95000005</v>
      </c>
    </row>
    <row r="150" spans="1:31" ht="15" customHeight="1" x14ac:dyDescent="0.25">
      <c r="B150" s="135"/>
      <c r="C150" s="135"/>
      <c r="D150" s="135"/>
      <c r="N150" s="15">
        <f>860291049.16+38541772.79</f>
        <v>898832821.94999993</v>
      </c>
      <c r="O150" s="15">
        <f>O148</f>
        <v>545416615.65999997</v>
      </c>
      <c r="P150" s="15">
        <f>40868180.15+453986896.43</f>
        <v>494855076.57999998</v>
      </c>
      <c r="Q150" s="15">
        <f>28927200+426575006.43</f>
        <v>455502206.43000001</v>
      </c>
      <c r="R150" s="15">
        <f>28927200+426588806.43</f>
        <v>455516006.43000001</v>
      </c>
      <c r="T150" s="15">
        <v>899313911.00999999</v>
      </c>
      <c r="AE150" s="15">
        <f>860291049.16+38541772.79</f>
        <v>898832821.94999993</v>
      </c>
    </row>
    <row r="151" spans="1:31" x14ac:dyDescent="0.25">
      <c r="B151" s="135"/>
      <c r="C151" s="135"/>
      <c r="D151" s="135"/>
      <c r="N151" s="15">
        <f>N150-N149</f>
        <v>0</v>
      </c>
      <c r="O151" s="15">
        <f>O149-O150</f>
        <v>0</v>
      </c>
      <c r="P151" s="15">
        <f t="shared" ref="P151:S151" si="147">P149-P150</f>
        <v>-50000</v>
      </c>
      <c r="Q151" s="15">
        <f t="shared" ref="Q151" si="148">Q149-Q150</f>
        <v>-50000</v>
      </c>
      <c r="R151" s="15">
        <f t="shared" si="147"/>
        <v>-50000</v>
      </c>
      <c r="S151" s="15">
        <f t="shared" si="147"/>
        <v>15804431.9</v>
      </c>
      <c r="T151" s="15">
        <f>T150-T149</f>
        <v>-352334557.37999988</v>
      </c>
      <c r="AE151" s="15">
        <f>AE150-AE149</f>
        <v>0</v>
      </c>
    </row>
    <row r="152" spans="1:31" x14ac:dyDescent="0.25">
      <c r="N152" s="15"/>
      <c r="T152" s="15"/>
      <c r="AE152" s="15"/>
    </row>
    <row r="153" spans="1:31" x14ac:dyDescent="0.25">
      <c r="N153" s="15">
        <v>918456354.79999995</v>
      </c>
      <c r="O153" s="15">
        <v>583641022.64999998</v>
      </c>
      <c r="P153" s="15">
        <v>527109414.05000001</v>
      </c>
      <c r="Q153" s="15">
        <v>577082562.59000003</v>
      </c>
      <c r="R153" s="15">
        <v>577082562.59000003</v>
      </c>
      <c r="AE153" s="9">
        <v>918456354.79999995</v>
      </c>
    </row>
    <row r="154" spans="1:31" x14ac:dyDescent="0.25">
      <c r="L154" s="9" t="s">
        <v>120</v>
      </c>
      <c r="N154" s="15"/>
      <c r="O154" s="15">
        <f>79936.8+1200000+536858.04+207785.67</f>
        <v>2024580.51</v>
      </c>
      <c r="P154" s="15">
        <f>321693.36+32666.67+99955+131727.39+224265.12+12810+274214.4+345265.06+6301609.28+110021.7+1662000+5983176.79+11211.44</f>
        <v>15510616.209999999</v>
      </c>
      <c r="Q154" s="15"/>
      <c r="R154" s="15"/>
    </row>
    <row r="155" spans="1:31" x14ac:dyDescent="0.25">
      <c r="N155" s="15"/>
      <c r="O155" s="15">
        <f>O153-O154</f>
        <v>581616442.13999999</v>
      </c>
      <c r="P155" s="15">
        <f>P153-P154</f>
        <v>511598797.84000003</v>
      </c>
      <c r="Q155" s="15">
        <f t="shared" ref="Q155:R155" si="149">Q153-Q154</f>
        <v>577082562.59000003</v>
      </c>
      <c r="R155" s="15">
        <f t="shared" si="149"/>
        <v>577082562.59000003</v>
      </c>
    </row>
    <row r="156" spans="1:31" x14ac:dyDescent="0.25">
      <c r="N156" s="15">
        <f>N140-N153</f>
        <v>0</v>
      </c>
      <c r="O156" s="15"/>
      <c r="P156" s="15"/>
      <c r="Q156" s="15"/>
      <c r="R156" s="15"/>
      <c r="AE156" s="15">
        <f>AE140-AE153</f>
        <v>0</v>
      </c>
    </row>
    <row r="157" spans="1:31" x14ac:dyDescent="0.25">
      <c r="N157" s="15"/>
      <c r="O157" s="15">
        <f>O153-O140</f>
        <v>2024580.5099998713</v>
      </c>
      <c r="P157" s="15">
        <f t="shared" ref="P157:R157" si="150">P153-P140</f>
        <v>-5529463.5299999714</v>
      </c>
      <c r="Q157" s="15">
        <f t="shared" si="150"/>
        <v>83796555.160000026</v>
      </c>
      <c r="R157" s="15">
        <f t="shared" si="150"/>
        <v>83782755.160000026</v>
      </c>
    </row>
    <row r="158" spans="1:31" x14ac:dyDescent="0.25">
      <c r="N158" s="15"/>
      <c r="O158" s="15">
        <f>O155-O140</f>
        <v>0</v>
      </c>
      <c r="P158" s="15">
        <f>P155-P140</f>
        <v>-21040079.73999995</v>
      </c>
      <c r="Q158" s="15">
        <f t="shared" ref="Q158:R158" si="151">Q155-Q140</f>
        <v>83796555.160000026</v>
      </c>
      <c r="R158" s="15">
        <f t="shared" si="151"/>
        <v>83782755.160000026</v>
      </c>
    </row>
    <row r="159" spans="1:31" x14ac:dyDescent="0.25">
      <c r="N159" s="15"/>
      <c r="O159" s="15"/>
      <c r="P159" s="15"/>
      <c r="Q159" s="15"/>
      <c r="R159" s="15"/>
    </row>
    <row r="160" spans="1:31" x14ac:dyDescent="0.25">
      <c r="N160" s="15"/>
      <c r="O160" s="15"/>
      <c r="P160" s="15"/>
      <c r="Q160" s="15"/>
      <c r="R160" s="15"/>
      <c r="T160" s="15"/>
      <c r="AE160" s="15"/>
    </row>
    <row r="161" spans="4:31" x14ac:dyDescent="0.25">
      <c r="N161" s="15">
        <f>N25+N26+N27+N28+N59+N60+N61+N62+N69+N70+N71+N72+N90+N91+N92+N93+N96+N97+N98+N99+N101+N102+N103+N104</f>
        <v>19623532.849999998</v>
      </c>
      <c r="O161" s="15">
        <f>N142-N161</f>
        <v>859318874.06000006</v>
      </c>
      <c r="P161" s="15"/>
      <c r="Q161" s="15"/>
      <c r="R161" s="15"/>
      <c r="T161" s="15"/>
      <c r="AE161" s="15">
        <f>AE25+AE26+AE27+AE28+AE59+AE60+AE61+AE62+AE69+AE70+AE71+AE72+AE90+AE91+AE92+AE93+AE96+AE97+AE98+AE99+AE101+AE102+AE103+AE104</f>
        <v>19623532.849999998</v>
      </c>
    </row>
    <row r="162" spans="4:31" x14ac:dyDescent="0.25">
      <c r="N162" s="15">
        <f>N149+N161</f>
        <v>918456354.80000007</v>
      </c>
      <c r="O162" s="15"/>
      <c r="P162" s="15"/>
      <c r="Q162" s="15"/>
      <c r="R162" s="15"/>
      <c r="T162" s="15"/>
      <c r="AE162" s="15">
        <f>AE149+AE161</f>
        <v>918456354.80000007</v>
      </c>
    </row>
    <row r="163" spans="4:31" x14ac:dyDescent="0.25">
      <c r="N163" s="15">
        <f>N162-N153</f>
        <v>0</v>
      </c>
      <c r="O163" s="15">
        <f>O148-O149</f>
        <v>0</v>
      </c>
      <c r="P163" s="15"/>
      <c r="Q163" s="15"/>
      <c r="R163" s="15"/>
      <c r="AE163" s="15">
        <f>AE162-AE153</f>
        <v>0</v>
      </c>
    </row>
    <row r="164" spans="4:31" x14ac:dyDescent="0.25">
      <c r="N164" s="15"/>
      <c r="O164" s="15"/>
      <c r="P164" s="15"/>
      <c r="Q164" s="15"/>
      <c r="R164" s="15"/>
    </row>
    <row r="165" spans="4:31" x14ac:dyDescent="0.25">
      <c r="N165" s="15">
        <f>N10-N142</f>
        <v>0</v>
      </c>
      <c r="O165" s="15">
        <v>13000000</v>
      </c>
      <c r="P165" s="15"/>
      <c r="Q165" s="15"/>
      <c r="R165" s="15"/>
      <c r="AE165" s="15">
        <f>AE10-AE142</f>
        <v>0</v>
      </c>
    </row>
    <row r="166" spans="4:31" x14ac:dyDescent="0.25">
      <c r="N166" s="15">
        <f>N143-N11</f>
        <v>0</v>
      </c>
      <c r="O166" s="15">
        <v>10195060</v>
      </c>
      <c r="P166" s="15"/>
      <c r="Q166" s="15"/>
      <c r="R166" s="15"/>
      <c r="AE166" s="15">
        <f>AE143-AE11</f>
        <v>0</v>
      </c>
    </row>
    <row r="167" spans="4:31" x14ac:dyDescent="0.25">
      <c r="N167" s="15">
        <f>N144-N12</f>
        <v>0</v>
      </c>
      <c r="O167" s="15">
        <f>O165-O166</f>
        <v>2804940</v>
      </c>
      <c r="P167" s="15"/>
      <c r="Q167" s="15"/>
      <c r="R167" s="15"/>
      <c r="AE167" s="15">
        <f>AE144-AE12</f>
        <v>0</v>
      </c>
    </row>
    <row r="168" spans="4:31" x14ac:dyDescent="0.25">
      <c r="N168" s="15"/>
      <c r="O168" s="15"/>
      <c r="P168" s="15"/>
      <c r="Q168" s="15"/>
      <c r="R168" s="15"/>
    </row>
    <row r="169" spans="4:31" x14ac:dyDescent="0.25">
      <c r="N169" s="15"/>
      <c r="O169" s="15"/>
      <c r="P169" s="15"/>
      <c r="Q169" s="15"/>
      <c r="R169" s="15"/>
    </row>
    <row r="170" spans="4:31" x14ac:dyDescent="0.25">
      <c r="N170" s="15"/>
      <c r="O170" s="15"/>
      <c r="P170" s="15"/>
      <c r="Q170" s="15"/>
      <c r="R170" s="15"/>
    </row>
    <row r="171" spans="4:31" x14ac:dyDescent="0.25">
      <c r="J171" s="15">
        <f>J10-J142</f>
        <v>0</v>
      </c>
      <c r="K171" s="15">
        <f t="shared" ref="K171:R171" si="152">K10-K142</f>
        <v>0</v>
      </c>
      <c r="L171" s="15">
        <f t="shared" si="152"/>
        <v>0</v>
      </c>
      <c r="M171" s="15">
        <f t="shared" si="152"/>
        <v>0</v>
      </c>
      <c r="N171" s="15">
        <f t="shared" si="152"/>
        <v>0</v>
      </c>
      <c r="O171" s="15">
        <f>O10-O142</f>
        <v>0</v>
      </c>
      <c r="P171" s="15">
        <f t="shared" si="152"/>
        <v>0</v>
      </c>
      <c r="Q171" s="15">
        <f t="shared" ref="Q171" si="153">Q10-Q142</f>
        <v>0</v>
      </c>
      <c r="R171" s="15">
        <f t="shared" si="152"/>
        <v>0</v>
      </c>
    </row>
    <row r="172" spans="4:31" x14ac:dyDescent="0.25">
      <c r="J172" s="15">
        <f t="shared" ref="J172:R173" si="154">J11-J143</f>
        <v>0</v>
      </c>
      <c r="K172" s="15">
        <f t="shared" si="154"/>
        <v>0</v>
      </c>
      <c r="L172" s="15">
        <f t="shared" si="154"/>
        <v>0</v>
      </c>
      <c r="M172" s="15">
        <f t="shared" si="154"/>
        <v>0</v>
      </c>
      <c r="N172" s="15">
        <f t="shared" si="154"/>
        <v>0</v>
      </c>
      <c r="O172" s="15">
        <f t="shared" si="154"/>
        <v>0</v>
      </c>
      <c r="P172" s="15">
        <f t="shared" si="154"/>
        <v>0</v>
      </c>
      <c r="Q172" s="15">
        <f t="shared" ref="Q172" si="155">Q11-Q143</f>
        <v>0</v>
      </c>
      <c r="R172" s="15">
        <f t="shared" si="154"/>
        <v>0</v>
      </c>
    </row>
    <row r="173" spans="4:31" x14ac:dyDescent="0.25">
      <c r="J173" s="15">
        <f t="shared" si="154"/>
        <v>0</v>
      </c>
      <c r="K173" s="15">
        <f t="shared" si="154"/>
        <v>0</v>
      </c>
      <c r="L173" s="15">
        <f t="shared" si="154"/>
        <v>0</v>
      </c>
      <c r="M173" s="15">
        <f t="shared" si="154"/>
        <v>0</v>
      </c>
      <c r="N173" s="15">
        <f t="shared" si="154"/>
        <v>0</v>
      </c>
      <c r="O173" s="15">
        <f t="shared" si="154"/>
        <v>0</v>
      </c>
      <c r="P173" s="15">
        <f t="shared" si="154"/>
        <v>0</v>
      </c>
      <c r="Q173" s="15">
        <f t="shared" ref="Q173" si="156">Q12-Q144</f>
        <v>0</v>
      </c>
      <c r="R173" s="15">
        <f t="shared" si="154"/>
        <v>0</v>
      </c>
    </row>
    <row r="174" spans="4:31" x14ac:dyDescent="0.25">
      <c r="N174" s="15"/>
      <c r="O174" s="15"/>
      <c r="P174" s="15"/>
      <c r="Q174" s="15"/>
      <c r="R174" s="15"/>
    </row>
    <row r="175" spans="4:31" x14ac:dyDescent="0.25">
      <c r="I175" s="15"/>
      <c r="J175" s="15"/>
      <c r="K175" s="15"/>
      <c r="L175" s="15"/>
      <c r="M175" s="15"/>
      <c r="N175" s="15"/>
      <c r="O175" s="15"/>
      <c r="P175" s="15"/>
      <c r="Q175" s="15"/>
      <c r="R175" s="15"/>
      <c r="AE175" s="15"/>
    </row>
    <row r="176" spans="4:31" x14ac:dyDescent="0.25">
      <c r="D176" s="9" t="s">
        <v>112</v>
      </c>
      <c r="I176" s="15"/>
      <c r="J176" s="15"/>
      <c r="K176" s="15"/>
      <c r="L176" s="15"/>
      <c r="M176" s="15"/>
      <c r="N176" s="15"/>
      <c r="O176" s="15">
        <v>583641022.64999998</v>
      </c>
      <c r="P176" s="15"/>
      <c r="Q176" s="15"/>
      <c r="R176" s="15"/>
      <c r="AE176" s="15"/>
    </row>
    <row r="177" spans="9:31" x14ac:dyDescent="0.25">
      <c r="I177" s="15"/>
      <c r="J177" s="15"/>
      <c r="K177" s="15"/>
      <c r="L177" s="15"/>
      <c r="M177" s="15"/>
      <c r="N177" s="15"/>
      <c r="O177" s="15">
        <f>O176-O140</f>
        <v>2024580.5099998713</v>
      </c>
      <c r="P177" s="15"/>
      <c r="Q177" s="15"/>
      <c r="R177" s="15"/>
      <c r="AE177" s="15"/>
    </row>
    <row r="178" spans="9:31" x14ac:dyDescent="0.25">
      <c r="N178" s="15"/>
      <c r="O178" s="15"/>
      <c r="P178" s="15"/>
      <c r="Q178" s="15"/>
      <c r="R178" s="15"/>
    </row>
    <row r="179" spans="9:31" x14ac:dyDescent="0.25">
      <c r="M179" s="96" t="s">
        <v>117</v>
      </c>
      <c r="N179" s="15" t="s">
        <v>113</v>
      </c>
      <c r="O179" s="15">
        <f>O25+O60+O69+O90+O104</f>
        <v>9199165.959999999</v>
      </c>
      <c r="P179" s="15">
        <f>P25+P60+P69+P90+P104+P98</f>
        <v>9446155</v>
      </c>
      <c r="Q179" s="15">
        <f t="shared" ref="Q179:R179" si="157">Q25+Q60+Q69+Q90+Q104+Q98</f>
        <v>9446155</v>
      </c>
      <c r="R179" s="15">
        <f t="shared" si="157"/>
        <v>9446155</v>
      </c>
    </row>
    <row r="180" spans="9:31" x14ac:dyDescent="0.25">
      <c r="M180" s="96"/>
      <c r="N180" s="15" t="s">
        <v>114</v>
      </c>
      <c r="O180" s="15">
        <f>O26+O61+O70+O91+O96+O101</f>
        <v>9104817.4899999984</v>
      </c>
      <c r="P180" s="15">
        <f t="shared" ref="P180:R180" si="158">P26+P61+P70+P91+P96+P101</f>
        <v>10502073</v>
      </c>
      <c r="Q180" s="15">
        <f t="shared" si="158"/>
        <v>10502073</v>
      </c>
      <c r="R180" s="15">
        <f t="shared" si="158"/>
        <v>10502073</v>
      </c>
    </row>
    <row r="181" spans="9:31" x14ac:dyDescent="0.25">
      <c r="M181" s="96"/>
      <c r="N181" s="9" t="s">
        <v>115</v>
      </c>
      <c r="O181" s="15">
        <f>O27+O62+O71+O92+O108+O97</f>
        <v>11523794.310000002</v>
      </c>
      <c r="P181" s="15">
        <f t="shared" ref="P181:R181" si="159">P27+P62+P71+P92+P108+P97</f>
        <v>10764493</v>
      </c>
      <c r="Q181" s="15">
        <f t="shared" si="159"/>
        <v>10764493</v>
      </c>
      <c r="R181" s="15">
        <f t="shared" si="159"/>
        <v>10764493</v>
      </c>
    </row>
    <row r="182" spans="9:31" x14ac:dyDescent="0.25">
      <c r="M182" s="96"/>
      <c r="N182" s="9" t="s">
        <v>116</v>
      </c>
      <c r="O182" s="15">
        <f>O28+O59+O72+O93+O99+O102</f>
        <v>6372048.7199999997</v>
      </c>
      <c r="P182" s="15">
        <f t="shared" ref="P182:R182" si="160">P28+P59+P72+P93+P99+P102</f>
        <v>7121080</v>
      </c>
      <c r="Q182" s="15">
        <f t="shared" si="160"/>
        <v>7121080</v>
      </c>
      <c r="R182" s="15">
        <f t="shared" si="160"/>
        <v>7121080</v>
      </c>
    </row>
    <row r="183" spans="9:31" x14ac:dyDescent="0.25">
      <c r="M183" s="96" t="s">
        <v>118</v>
      </c>
      <c r="N183" s="9" t="s">
        <v>113</v>
      </c>
      <c r="O183" s="15">
        <v>9199165.9600000009</v>
      </c>
      <c r="P183" s="15">
        <v>9446155</v>
      </c>
      <c r="Q183" s="15">
        <v>9446155</v>
      </c>
      <c r="R183" s="15">
        <f>Q183</f>
        <v>9446155</v>
      </c>
    </row>
    <row r="184" spans="9:31" x14ac:dyDescent="0.25">
      <c r="M184" s="96"/>
      <c r="N184" s="9" t="s">
        <v>114</v>
      </c>
      <c r="O184" s="15">
        <v>9128652.6899999995</v>
      </c>
      <c r="P184" s="15">
        <v>10502073</v>
      </c>
      <c r="Q184" s="15">
        <v>10502073</v>
      </c>
      <c r="R184" s="15">
        <f t="shared" ref="R184:R186" si="161">Q184</f>
        <v>10502073</v>
      </c>
    </row>
    <row r="185" spans="9:31" x14ac:dyDescent="0.25">
      <c r="M185" s="96"/>
      <c r="N185" s="9" t="s">
        <v>115</v>
      </c>
      <c r="O185" s="15">
        <v>12140589.15</v>
      </c>
      <c r="P185" s="15">
        <v>10764493</v>
      </c>
      <c r="Q185" s="15">
        <v>10764493</v>
      </c>
      <c r="R185" s="15">
        <f t="shared" si="161"/>
        <v>10764493</v>
      </c>
    </row>
    <row r="186" spans="9:31" x14ac:dyDescent="0.25">
      <c r="M186" s="96"/>
      <c r="N186" s="9" t="s">
        <v>116</v>
      </c>
      <c r="O186" s="15">
        <v>6372048.7199999997</v>
      </c>
      <c r="P186" s="15">
        <v>7121080</v>
      </c>
      <c r="Q186" s="15">
        <v>7121080</v>
      </c>
      <c r="R186" s="15">
        <f t="shared" si="161"/>
        <v>7121080</v>
      </c>
    </row>
    <row r="187" spans="9:31" x14ac:dyDescent="0.25">
      <c r="M187" s="9" t="s">
        <v>119</v>
      </c>
      <c r="N187" s="9" t="s">
        <v>113</v>
      </c>
      <c r="O187" s="15">
        <f>O183-O179</f>
        <v>0</v>
      </c>
      <c r="P187" s="15">
        <f t="shared" ref="P187:R187" si="162">P183-P179</f>
        <v>0</v>
      </c>
      <c r="Q187" s="15">
        <f t="shared" si="162"/>
        <v>0</v>
      </c>
      <c r="R187" s="15">
        <f t="shared" si="162"/>
        <v>0</v>
      </c>
    </row>
    <row r="188" spans="9:31" x14ac:dyDescent="0.25">
      <c r="N188" s="9" t="s">
        <v>114</v>
      </c>
      <c r="O188" s="15">
        <f t="shared" ref="O188:R190" si="163">O184-O180</f>
        <v>23835.200000001118</v>
      </c>
      <c r="P188" s="15">
        <f t="shared" si="163"/>
        <v>0</v>
      </c>
      <c r="Q188" s="15">
        <f t="shared" si="163"/>
        <v>0</v>
      </c>
      <c r="R188" s="15">
        <f t="shared" si="163"/>
        <v>0</v>
      </c>
    </row>
    <row r="189" spans="9:31" x14ac:dyDescent="0.25">
      <c r="N189" s="9" t="s">
        <v>115</v>
      </c>
      <c r="O189" s="15">
        <f t="shared" si="163"/>
        <v>616794.83999999799</v>
      </c>
      <c r="P189" s="15">
        <f t="shared" si="163"/>
        <v>0</v>
      </c>
      <c r="Q189" s="15">
        <f t="shared" si="163"/>
        <v>0</v>
      </c>
      <c r="R189" s="15">
        <f t="shared" si="163"/>
        <v>0</v>
      </c>
    </row>
    <row r="190" spans="9:31" x14ac:dyDescent="0.25">
      <c r="N190" s="9" t="s">
        <v>116</v>
      </c>
      <c r="O190" s="15">
        <f t="shared" si="163"/>
        <v>0</v>
      </c>
      <c r="P190" s="15">
        <f t="shared" si="163"/>
        <v>0</v>
      </c>
      <c r="Q190" s="15">
        <f t="shared" si="163"/>
        <v>0</v>
      </c>
      <c r="R190" s="15">
        <f t="shared" si="163"/>
        <v>0</v>
      </c>
    </row>
    <row r="191" spans="9:31" x14ac:dyDescent="0.25">
      <c r="O191" s="15"/>
      <c r="P191" s="15"/>
      <c r="Q191" s="15"/>
      <c r="R191" s="15"/>
    </row>
    <row r="207" spans="14:31" x14ac:dyDescent="0.25">
      <c r="N207" s="15"/>
      <c r="T207" s="15"/>
      <c r="AE207" s="15"/>
    </row>
  </sheetData>
  <autoFilter ref="A7:X47"/>
  <mergeCells count="103">
    <mergeCell ref="B149:D151"/>
    <mergeCell ref="B145:D145"/>
    <mergeCell ref="D106:N106"/>
    <mergeCell ref="I145:L145"/>
    <mergeCell ref="I146:L146"/>
    <mergeCell ref="B146:D147"/>
    <mergeCell ref="C134:C135"/>
    <mergeCell ref="B124:B125"/>
    <mergeCell ref="C124:C125"/>
    <mergeCell ref="B118:B119"/>
    <mergeCell ref="C118:C119"/>
    <mergeCell ref="B132:B133"/>
    <mergeCell ref="C132:C133"/>
    <mergeCell ref="N146:R147"/>
    <mergeCell ref="C126:C127"/>
    <mergeCell ref="C130:C131"/>
    <mergeCell ref="B122:B123"/>
    <mergeCell ref="B130:B131"/>
    <mergeCell ref="B128:B129"/>
    <mergeCell ref="C128:C129"/>
    <mergeCell ref="B120:B121"/>
    <mergeCell ref="C120:C121"/>
    <mergeCell ref="C122:C123"/>
    <mergeCell ref="A117:R117"/>
    <mergeCell ref="A120:A121"/>
    <mergeCell ref="A122:A123"/>
    <mergeCell ref="B39:B40"/>
    <mergeCell ref="A57:A62"/>
    <mergeCell ref="B126:B127"/>
    <mergeCell ref="B100:B104"/>
    <mergeCell ref="A95:A99"/>
    <mergeCell ref="A89:A94"/>
    <mergeCell ref="B89:B94"/>
    <mergeCell ref="D95:D99"/>
    <mergeCell ref="B95:B99"/>
    <mergeCell ref="C6:C7"/>
    <mergeCell ref="A4:P4"/>
    <mergeCell ref="A6:A7"/>
    <mergeCell ref="B6:B7"/>
    <mergeCell ref="E6:H6"/>
    <mergeCell ref="D6:D7"/>
    <mergeCell ref="I6:R6"/>
    <mergeCell ref="A5:R5"/>
    <mergeCell ref="A24:A28"/>
    <mergeCell ref="B9:R9"/>
    <mergeCell ref="C15:C16"/>
    <mergeCell ref="A78:A81"/>
    <mergeCell ref="A53:A55"/>
    <mergeCell ref="B53:B55"/>
    <mergeCell ref="B78:B81"/>
    <mergeCell ref="C65:C67"/>
    <mergeCell ref="D89:D94"/>
    <mergeCell ref="C34:C36"/>
    <mergeCell ref="D79:L79"/>
    <mergeCell ref="C19:C20"/>
    <mergeCell ref="M1:R1"/>
    <mergeCell ref="M2:R2"/>
    <mergeCell ref="A65:A77"/>
    <mergeCell ref="A134:A135"/>
    <mergeCell ref="B134:B135"/>
    <mergeCell ref="A100:A104"/>
    <mergeCell ref="B17:B18"/>
    <mergeCell ref="B105:B110"/>
    <mergeCell ref="A132:A133"/>
    <mergeCell ref="A105:A110"/>
    <mergeCell ref="A128:A129"/>
    <mergeCell ref="A130:A131"/>
    <mergeCell ref="A126:A127"/>
    <mergeCell ref="A124:A125"/>
    <mergeCell ref="A118:A119"/>
    <mergeCell ref="A17:A18"/>
    <mergeCell ref="B24:B28"/>
    <mergeCell ref="A34:A36"/>
    <mergeCell ref="B65:B77"/>
    <mergeCell ref="B50:B52"/>
    <mergeCell ref="B34:B36"/>
    <mergeCell ref="B31:B33"/>
    <mergeCell ref="C31:C33"/>
    <mergeCell ref="B15:B16"/>
    <mergeCell ref="M179:M182"/>
    <mergeCell ref="M183:M186"/>
    <mergeCell ref="C53:C55"/>
    <mergeCell ref="A50:A52"/>
    <mergeCell ref="C10:C12"/>
    <mergeCell ref="C17:C18"/>
    <mergeCell ref="D58:L58"/>
    <mergeCell ref="B57:B62"/>
    <mergeCell ref="A10:A12"/>
    <mergeCell ref="B10:B12"/>
    <mergeCell ref="A13:A14"/>
    <mergeCell ref="C13:C14"/>
    <mergeCell ref="A15:A16"/>
    <mergeCell ref="A31:A33"/>
    <mergeCell ref="D24:L24"/>
    <mergeCell ref="C37:C38"/>
    <mergeCell ref="B37:B38"/>
    <mergeCell ref="C39:C40"/>
    <mergeCell ref="A39:A40"/>
    <mergeCell ref="A37:A38"/>
    <mergeCell ref="B13:B14"/>
    <mergeCell ref="A47:R47"/>
    <mergeCell ref="C73:C75"/>
    <mergeCell ref="C50:C52"/>
  </mergeCells>
  <printOptions horizontalCentered="1"/>
  <pageMargins left="0.78740157480314965" right="0.78740157480314965" top="1.3779527559055118" bottom="0.39370078740157483" header="0.70866141732283472" footer="0.31496062992125984"/>
  <pageSetup paperSize="9" scale="33" fitToHeight="8" orientation="landscape" r:id="rId1"/>
  <headerFooter differentFirst="1">
    <oddHeader>&amp;C&amp;P</oddHeader>
  </headerFooter>
  <rowBreaks count="1" manualBreakCount="1">
    <brk id="1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Расходы</vt:lpstr>
      <vt:lpstr>Расходы!Заголовки_для_печати</vt:lpstr>
      <vt:lpstr>Расходы!Область_печати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2022-09-07T08:07:18Z</dcterms:modified>
</cp:coreProperties>
</file>