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9200" windowHeight="11595"/>
  </bookViews>
  <sheets>
    <sheet name="Расходы" sheetId="3" r:id="rId1"/>
  </sheets>
  <definedNames>
    <definedName name="_xlnm._FilterDatabase" localSheetId="0" hidden="1">Расходы!$A$7:$AF$42</definedName>
    <definedName name="_xlnm.Print_Titles" localSheetId="0">Расходы!$6:$8</definedName>
    <definedName name="_xlnm.Print_Area" localSheetId="0">Расходы!$A$1:$Q$141</definedName>
  </definedNames>
  <calcPr calcId="144525" iterateDelta="1E-4"/>
</workbook>
</file>

<file path=xl/calcChain.xml><?xml version="1.0" encoding="utf-8"?>
<calcChain xmlns="http://schemas.openxmlformats.org/spreadsheetml/2006/main">
  <c r="AG58" i="3" l="1"/>
  <c r="O153" i="3"/>
  <c r="O143" i="3"/>
  <c r="P143" i="3"/>
  <c r="Q143" i="3"/>
  <c r="N143" i="3"/>
  <c r="AC143" i="3"/>
  <c r="AB143" i="3"/>
  <c r="AB145" i="3" s="1"/>
  <c r="N151" i="3"/>
  <c r="N60" i="3"/>
  <c r="AJ60" i="3"/>
  <c r="AI137" i="3" l="1"/>
  <c r="AH137" i="3"/>
  <c r="AG137" i="3"/>
  <c r="AI136" i="3"/>
  <c r="AH136" i="3"/>
  <c r="AG136" i="3"/>
  <c r="AI135" i="3"/>
  <c r="AH135" i="3"/>
  <c r="AG135" i="3"/>
  <c r="AI134" i="3"/>
  <c r="AH134" i="3"/>
  <c r="AG134" i="3"/>
  <c r="AI133" i="3"/>
  <c r="AH133" i="3"/>
  <c r="AG133" i="3"/>
  <c r="AI132" i="3"/>
  <c r="AH132" i="3"/>
  <c r="AG132" i="3"/>
  <c r="AI131" i="3"/>
  <c r="AH131" i="3"/>
  <c r="AG131" i="3"/>
  <c r="AI130" i="3"/>
  <c r="AH130" i="3"/>
  <c r="AG130" i="3"/>
  <c r="AI129" i="3"/>
  <c r="AH129" i="3"/>
  <c r="AG129" i="3"/>
  <c r="AI128" i="3"/>
  <c r="AH128" i="3"/>
  <c r="AG128" i="3"/>
  <c r="AI127" i="3"/>
  <c r="AH127" i="3"/>
  <c r="AG127" i="3"/>
  <c r="AI126" i="3"/>
  <c r="AH126" i="3"/>
  <c r="AG126" i="3"/>
  <c r="AI125" i="3"/>
  <c r="AH125" i="3"/>
  <c r="AG125" i="3"/>
  <c r="AI124" i="3"/>
  <c r="AH124" i="3"/>
  <c r="AG124" i="3"/>
  <c r="AI123" i="3"/>
  <c r="AH123" i="3"/>
  <c r="AG123" i="3"/>
  <c r="AI122" i="3"/>
  <c r="AH122" i="3"/>
  <c r="AG122" i="3"/>
  <c r="AI121" i="3"/>
  <c r="AH121" i="3"/>
  <c r="AG121" i="3"/>
  <c r="AI120" i="3"/>
  <c r="AH120" i="3"/>
  <c r="AG120" i="3"/>
  <c r="AI119" i="3"/>
  <c r="AH119" i="3"/>
  <c r="AG119" i="3"/>
  <c r="AI118" i="3"/>
  <c r="AH118" i="3"/>
  <c r="AG118" i="3"/>
  <c r="AI117" i="3"/>
  <c r="AH117" i="3"/>
  <c r="AG117" i="3"/>
  <c r="AI116" i="3"/>
  <c r="AH116" i="3"/>
  <c r="AG116" i="3"/>
  <c r="AI115" i="3"/>
  <c r="AH115" i="3"/>
  <c r="AG115" i="3"/>
  <c r="AI114" i="3"/>
  <c r="AH114" i="3"/>
  <c r="AG114" i="3"/>
  <c r="AI113" i="3"/>
  <c r="AH113" i="3"/>
  <c r="AG113" i="3"/>
  <c r="AI112" i="3"/>
  <c r="AH112" i="3"/>
  <c r="AG112" i="3"/>
  <c r="AI111" i="3"/>
  <c r="AH111" i="3"/>
  <c r="AG111" i="3"/>
  <c r="AI110" i="3"/>
  <c r="AH110" i="3"/>
  <c r="AG110" i="3"/>
  <c r="AI109" i="3"/>
  <c r="AH109" i="3"/>
  <c r="AG109" i="3"/>
  <c r="AI108" i="3"/>
  <c r="AH108" i="3"/>
  <c r="AG108" i="3"/>
  <c r="AI107" i="3"/>
  <c r="AH107" i="3"/>
  <c r="AG107" i="3"/>
  <c r="AI106" i="3"/>
  <c r="AH106" i="3"/>
  <c r="AG106" i="3"/>
  <c r="AI105" i="3"/>
  <c r="AH105" i="3"/>
  <c r="AG105" i="3"/>
  <c r="AI104" i="3"/>
  <c r="AH104" i="3"/>
  <c r="AG104" i="3"/>
  <c r="AI103" i="3"/>
  <c r="AH103" i="3"/>
  <c r="AG103" i="3"/>
  <c r="AI102" i="3"/>
  <c r="AH102" i="3"/>
  <c r="AG102" i="3"/>
  <c r="AI101" i="3"/>
  <c r="AH101" i="3"/>
  <c r="AG101" i="3"/>
  <c r="AI100" i="3"/>
  <c r="AH100" i="3"/>
  <c r="AG100" i="3"/>
  <c r="AI99" i="3"/>
  <c r="AH99" i="3"/>
  <c r="AG99" i="3"/>
  <c r="AI98" i="3"/>
  <c r="AH98" i="3"/>
  <c r="AG98" i="3"/>
  <c r="AI97" i="3"/>
  <c r="AH97" i="3"/>
  <c r="AG97" i="3"/>
  <c r="AI96" i="3"/>
  <c r="AH96" i="3"/>
  <c r="AG96" i="3"/>
  <c r="AI95" i="3"/>
  <c r="AH95" i="3"/>
  <c r="AG95" i="3"/>
  <c r="AI94" i="3"/>
  <c r="AH94" i="3"/>
  <c r="AG94" i="3"/>
  <c r="AI93" i="3"/>
  <c r="AH93" i="3"/>
  <c r="AG93" i="3"/>
  <c r="AI92" i="3"/>
  <c r="AH92" i="3"/>
  <c r="AG92" i="3"/>
  <c r="AI91" i="3"/>
  <c r="AH91" i="3"/>
  <c r="AG91" i="3"/>
  <c r="AI90" i="3"/>
  <c r="AH90" i="3"/>
  <c r="AG90" i="3"/>
  <c r="AI89" i="3"/>
  <c r="AH89" i="3"/>
  <c r="AG89" i="3"/>
  <c r="AI88" i="3"/>
  <c r="AH88" i="3"/>
  <c r="AG88" i="3"/>
  <c r="AI87" i="3"/>
  <c r="AH87" i="3"/>
  <c r="AG87" i="3"/>
  <c r="AI86" i="3"/>
  <c r="AH86" i="3"/>
  <c r="AG86" i="3"/>
  <c r="AI85" i="3"/>
  <c r="AH85" i="3"/>
  <c r="AG85" i="3"/>
  <c r="AI84" i="3"/>
  <c r="AH84" i="3"/>
  <c r="AG84" i="3"/>
  <c r="AI83" i="3"/>
  <c r="AH83" i="3"/>
  <c r="AG83" i="3"/>
  <c r="AI82" i="3"/>
  <c r="AH82" i="3"/>
  <c r="AG82" i="3"/>
  <c r="AI81" i="3"/>
  <c r="AH81" i="3"/>
  <c r="AG81" i="3"/>
  <c r="AI80" i="3"/>
  <c r="AH80" i="3"/>
  <c r="AG80" i="3"/>
  <c r="AI79" i="3"/>
  <c r="AH79" i="3"/>
  <c r="AG79" i="3"/>
  <c r="AI78" i="3"/>
  <c r="AH78" i="3"/>
  <c r="AG78" i="3"/>
  <c r="AI77" i="3"/>
  <c r="AH77" i="3"/>
  <c r="AG77" i="3"/>
  <c r="AI76" i="3"/>
  <c r="AH76" i="3"/>
  <c r="AG76" i="3"/>
  <c r="AI75" i="3"/>
  <c r="AH75" i="3"/>
  <c r="AG75" i="3"/>
  <c r="AI74" i="3"/>
  <c r="AH74" i="3"/>
  <c r="AG74" i="3"/>
  <c r="AI73" i="3"/>
  <c r="AH73" i="3"/>
  <c r="AG73" i="3"/>
  <c r="AI72" i="3"/>
  <c r="AH72" i="3"/>
  <c r="AG72" i="3"/>
  <c r="AI71" i="3"/>
  <c r="AH71" i="3"/>
  <c r="AG71" i="3"/>
  <c r="AI70" i="3"/>
  <c r="AH70" i="3"/>
  <c r="AG70" i="3"/>
  <c r="AI69" i="3"/>
  <c r="AH69" i="3"/>
  <c r="AG69" i="3"/>
  <c r="AI68" i="3"/>
  <c r="AH68" i="3"/>
  <c r="AG68" i="3"/>
  <c r="AI67" i="3"/>
  <c r="AH67" i="3"/>
  <c r="AG67" i="3"/>
  <c r="AI66" i="3"/>
  <c r="AH66" i="3"/>
  <c r="AG66" i="3"/>
  <c r="AI65" i="3"/>
  <c r="AH65" i="3"/>
  <c r="AG65" i="3"/>
  <c r="AI64" i="3"/>
  <c r="AH64" i="3"/>
  <c r="AG64" i="3"/>
  <c r="AI63" i="3"/>
  <c r="AH63" i="3"/>
  <c r="AG63" i="3"/>
  <c r="AI62" i="3"/>
  <c r="AH62" i="3"/>
  <c r="AG62" i="3"/>
  <c r="AI61" i="3"/>
  <c r="AH61" i="3"/>
  <c r="AG61" i="3"/>
  <c r="AI60" i="3"/>
  <c r="AH60" i="3"/>
  <c r="AG60" i="3"/>
  <c r="AI59" i="3"/>
  <c r="AH59" i="3"/>
  <c r="AG59" i="3"/>
  <c r="AI58" i="3"/>
  <c r="AH58" i="3"/>
  <c r="AI57" i="3"/>
  <c r="AH57" i="3"/>
  <c r="AG57" i="3"/>
  <c r="AI56" i="3"/>
  <c r="AH56" i="3"/>
  <c r="AG56" i="3"/>
  <c r="AI55" i="3"/>
  <c r="AH55" i="3"/>
  <c r="AG55" i="3"/>
  <c r="AI54" i="3"/>
  <c r="AH54" i="3"/>
  <c r="AG54" i="3"/>
  <c r="AI53" i="3"/>
  <c r="AH53" i="3"/>
  <c r="AG53" i="3"/>
  <c r="AI52" i="3"/>
  <c r="AH52" i="3"/>
  <c r="AG52" i="3"/>
  <c r="AI51" i="3"/>
  <c r="AH51" i="3"/>
  <c r="AG51" i="3"/>
  <c r="AI50" i="3"/>
  <c r="AH50" i="3"/>
  <c r="AG50" i="3"/>
  <c r="AI49" i="3"/>
  <c r="AH49" i="3"/>
  <c r="AG49" i="3"/>
  <c r="AI48" i="3"/>
  <c r="AH48" i="3"/>
  <c r="AG48" i="3"/>
  <c r="AI47" i="3"/>
  <c r="AH47" i="3"/>
  <c r="AG47" i="3"/>
  <c r="AI46" i="3"/>
  <c r="AH46" i="3"/>
  <c r="AG46" i="3"/>
  <c r="AI45" i="3"/>
  <c r="AH45" i="3"/>
  <c r="AG45" i="3"/>
  <c r="AI44" i="3"/>
  <c r="AH44" i="3"/>
  <c r="AG44" i="3"/>
  <c r="AI43" i="3"/>
  <c r="AH43" i="3"/>
  <c r="AG43" i="3"/>
  <c r="AI42" i="3"/>
  <c r="AH42" i="3"/>
  <c r="AG42" i="3"/>
  <c r="AI41" i="3"/>
  <c r="AH41" i="3"/>
  <c r="AG41" i="3"/>
  <c r="AI40" i="3"/>
  <c r="AH40" i="3"/>
  <c r="AG40" i="3"/>
  <c r="AI39" i="3"/>
  <c r="AH39" i="3"/>
  <c r="AG39" i="3"/>
  <c r="AI38" i="3"/>
  <c r="AH38" i="3"/>
  <c r="AG38" i="3"/>
  <c r="AI37" i="3"/>
  <c r="AH37" i="3"/>
  <c r="AG37" i="3"/>
  <c r="AI36" i="3"/>
  <c r="AH36" i="3"/>
  <c r="AG36" i="3"/>
  <c r="AI35" i="3"/>
  <c r="AH35" i="3"/>
  <c r="AG35" i="3"/>
  <c r="AI34" i="3"/>
  <c r="AH34" i="3"/>
  <c r="AG34" i="3"/>
  <c r="AI33" i="3"/>
  <c r="AH33" i="3"/>
  <c r="AG33" i="3"/>
  <c r="AI32" i="3"/>
  <c r="AH32" i="3"/>
  <c r="AG32" i="3"/>
  <c r="AI31" i="3"/>
  <c r="AH31" i="3"/>
  <c r="AG31" i="3"/>
  <c r="AI30" i="3"/>
  <c r="AH30" i="3"/>
  <c r="AG30" i="3"/>
  <c r="AI29" i="3"/>
  <c r="AH29" i="3"/>
  <c r="AG29" i="3"/>
  <c r="AI28" i="3"/>
  <c r="AH28" i="3"/>
  <c r="AG28" i="3"/>
  <c r="AI27" i="3"/>
  <c r="AH27" i="3"/>
  <c r="AG27" i="3"/>
  <c r="AI26" i="3"/>
  <c r="AH26" i="3"/>
  <c r="AG26" i="3"/>
  <c r="AI25" i="3"/>
  <c r="AH25" i="3"/>
  <c r="AG25" i="3"/>
  <c r="AI24" i="3"/>
  <c r="AH24" i="3"/>
  <c r="AG24" i="3"/>
  <c r="AI23" i="3"/>
  <c r="AH23" i="3"/>
  <c r="AG23" i="3"/>
  <c r="AI22" i="3"/>
  <c r="AH22" i="3"/>
  <c r="AG22" i="3"/>
  <c r="AI21" i="3"/>
  <c r="AH21" i="3"/>
  <c r="AG21" i="3"/>
  <c r="AI20" i="3"/>
  <c r="AH20" i="3"/>
  <c r="AG20" i="3"/>
  <c r="AI19" i="3"/>
  <c r="AH19" i="3"/>
  <c r="AG19" i="3"/>
  <c r="AI18" i="3"/>
  <c r="AH18" i="3"/>
  <c r="AG18" i="3"/>
  <c r="AI17" i="3"/>
  <c r="AH17" i="3"/>
  <c r="AG17" i="3"/>
  <c r="AI16" i="3"/>
  <c r="AH16" i="3"/>
  <c r="AG16" i="3"/>
  <c r="AI15" i="3"/>
  <c r="AH15" i="3"/>
  <c r="AG15" i="3"/>
  <c r="AI14" i="3"/>
  <c r="AH14" i="3"/>
  <c r="AG14" i="3"/>
  <c r="AI13" i="3"/>
  <c r="AH13" i="3"/>
  <c r="AG13" i="3"/>
  <c r="AI12" i="3"/>
  <c r="AH12" i="3"/>
  <c r="AG12" i="3"/>
  <c r="AI11" i="3"/>
  <c r="AH11" i="3"/>
  <c r="AG11" i="3"/>
  <c r="AH10" i="3"/>
  <c r="AI10" i="3"/>
  <c r="AG10" i="3"/>
  <c r="AE52" i="3"/>
  <c r="AD60" i="3"/>
  <c r="AD72" i="3"/>
  <c r="AE72" i="3"/>
  <c r="AD14" i="3" l="1"/>
  <c r="AE14" i="3"/>
  <c r="AF99" i="3"/>
  <c r="AE99" i="3"/>
  <c r="AD99" i="3"/>
  <c r="AE98" i="3"/>
  <c r="AD98" i="3"/>
  <c r="AD94" i="3" s="1"/>
  <c r="AD105" i="3" s="1"/>
  <c r="AE96" i="3"/>
  <c r="AD96" i="3"/>
  <c r="AE95" i="3"/>
  <c r="AE94" i="3" s="1"/>
  <c r="AE105" i="3" s="1"/>
  <c r="AD95" i="3"/>
  <c r="AF94" i="3"/>
  <c r="AF105" i="3" s="1"/>
  <c r="AE89" i="3"/>
  <c r="AD89" i="3"/>
  <c r="AF83" i="3"/>
  <c r="AE83" i="3"/>
  <c r="AD83" i="3"/>
  <c r="AF72" i="3"/>
  <c r="AF11" i="3" s="1"/>
  <c r="AF137" i="3" s="1"/>
  <c r="AF62" i="3"/>
  <c r="AE62" i="3"/>
  <c r="AD62" i="3"/>
  <c r="AF61" i="3"/>
  <c r="AE61" i="3"/>
  <c r="AD61" i="3"/>
  <c r="AF60" i="3"/>
  <c r="AE60" i="3"/>
  <c r="AD48" i="3"/>
  <c r="AF52" i="3"/>
  <c r="AD52" i="3"/>
  <c r="AF50" i="3"/>
  <c r="AF110" i="3" s="1"/>
  <c r="AE50" i="3"/>
  <c r="AE110" i="3" s="1"/>
  <c r="AD50" i="3"/>
  <c r="AD110" i="3" s="1"/>
  <c r="AE49" i="3"/>
  <c r="AE46" i="3" s="1"/>
  <c r="AD49" i="3"/>
  <c r="AF47" i="3"/>
  <c r="AE47" i="3"/>
  <c r="AD47" i="3"/>
  <c r="AD31" i="3" s="1"/>
  <c r="AF46" i="3"/>
  <c r="AF109" i="3" s="1"/>
  <c r="AF40" i="3"/>
  <c r="AE40" i="3"/>
  <c r="AD40" i="3"/>
  <c r="AF36" i="3"/>
  <c r="AE36" i="3"/>
  <c r="AD36" i="3"/>
  <c r="AF35" i="3"/>
  <c r="AE35" i="3"/>
  <c r="AD35" i="3"/>
  <c r="AF31" i="3"/>
  <c r="AE31" i="3"/>
  <c r="AF30" i="3"/>
  <c r="AE28" i="3"/>
  <c r="AD28" i="3"/>
  <c r="AE21" i="3"/>
  <c r="AE20" i="3" s="1"/>
  <c r="AD21" i="3"/>
  <c r="AD20" i="3" s="1"/>
  <c r="AE16" i="3"/>
  <c r="AD16" i="3"/>
  <c r="AF15" i="3"/>
  <c r="AE15" i="3"/>
  <c r="AE13" i="3" s="1"/>
  <c r="AD15" i="3"/>
  <c r="AD13" i="3" s="1"/>
  <c r="AF14" i="3"/>
  <c r="AE11" i="3"/>
  <c r="AE137" i="3" s="1"/>
  <c r="AD11" i="3"/>
  <c r="AD137" i="3" s="1"/>
  <c r="AE48" i="3" l="1"/>
  <c r="AE106" i="3" s="1"/>
  <c r="AD46" i="3"/>
  <c r="AD109" i="3" s="1"/>
  <c r="AD106" i="3"/>
  <c r="AD45" i="3"/>
  <c r="AF49" i="3"/>
  <c r="AF48" i="3"/>
  <c r="AF45" i="3" s="1"/>
  <c r="AF136" i="3"/>
  <c r="AF134" i="3" s="1"/>
  <c r="AF13" i="3"/>
  <c r="AE136" i="3"/>
  <c r="AE134" i="3" s="1"/>
  <c r="AD136" i="3"/>
  <c r="AD134" i="3" s="1"/>
  <c r="AE109" i="3"/>
  <c r="AE30" i="3"/>
  <c r="AD108" i="3"/>
  <c r="AD29" i="3"/>
  <c r="AD10" i="3" s="1"/>
  <c r="AE45" i="3" l="1"/>
  <c r="AE29" i="3" s="1"/>
  <c r="AE10" i="3" s="1"/>
  <c r="AE108" i="3"/>
  <c r="AD30" i="3"/>
  <c r="AF10" i="3"/>
  <c r="AC67" i="3"/>
  <c r="AC26" i="3"/>
  <c r="L136" i="3" l="1"/>
  <c r="L165" i="3" s="1"/>
  <c r="L21" i="3"/>
  <c r="L10" i="3"/>
  <c r="L137" i="3"/>
  <c r="J165" i="3"/>
  <c r="K165" i="3"/>
  <c r="M165" i="3"/>
  <c r="N165" i="3"/>
  <c r="O165" i="3"/>
  <c r="P165" i="3"/>
  <c r="Q165" i="3"/>
  <c r="J166" i="3"/>
  <c r="K166" i="3"/>
  <c r="L166" i="3"/>
  <c r="M166" i="3"/>
  <c r="N166" i="3"/>
  <c r="O166" i="3"/>
  <c r="P166" i="3"/>
  <c r="Q166" i="3"/>
  <c r="J167" i="3"/>
  <c r="K167" i="3"/>
  <c r="L167" i="3"/>
  <c r="M167" i="3"/>
  <c r="N167" i="3"/>
  <c r="O167" i="3"/>
  <c r="P167" i="3"/>
  <c r="Q167" i="3"/>
  <c r="I166" i="3"/>
  <c r="I167" i="3"/>
  <c r="K10" i="3"/>
  <c r="M10" i="3"/>
  <c r="J11" i="3" l="1"/>
  <c r="K11" i="3"/>
  <c r="L11" i="3"/>
  <c r="M11" i="3"/>
  <c r="O11" i="3"/>
  <c r="P11" i="3"/>
  <c r="Q11" i="3"/>
  <c r="O15" i="3"/>
  <c r="P15" i="3"/>
  <c r="Q15" i="3"/>
  <c r="N15" i="3"/>
  <c r="Q144" i="3" l="1"/>
  <c r="P144" i="3"/>
  <c r="R145" i="3"/>
  <c r="S145" i="3"/>
  <c r="T145" i="3"/>
  <c r="U145" i="3"/>
  <c r="V145" i="3"/>
  <c r="W145" i="3"/>
  <c r="X145" i="3"/>
  <c r="Y145" i="3"/>
  <c r="Z145" i="3"/>
  <c r="AA145" i="3"/>
  <c r="P16" i="3"/>
  <c r="O16" i="3"/>
  <c r="N68" i="3" l="1"/>
  <c r="N78" i="3"/>
  <c r="I71" i="3"/>
  <c r="N97" i="3"/>
  <c r="N98" i="3"/>
  <c r="N24" i="3" l="1"/>
  <c r="N56" i="3"/>
  <c r="N90" i="3"/>
  <c r="N65" i="3"/>
  <c r="N21" i="3" l="1"/>
  <c r="N144" i="3"/>
  <c r="AC15" i="3" l="1"/>
  <c r="AC17" i="3"/>
  <c r="AC18" i="3"/>
  <c r="AC19" i="3"/>
  <c r="AC22" i="3"/>
  <c r="AC23" i="3"/>
  <c r="AC24" i="3"/>
  <c r="AC25" i="3"/>
  <c r="AC27" i="3"/>
  <c r="AC28" i="3"/>
  <c r="AC32" i="3"/>
  <c r="AC33" i="3"/>
  <c r="AC34" i="3"/>
  <c r="AC37" i="3"/>
  <c r="AC38" i="3"/>
  <c r="AC39" i="3"/>
  <c r="AC41" i="3"/>
  <c r="AC43" i="3"/>
  <c r="AC44" i="3"/>
  <c r="AC51" i="3"/>
  <c r="AC53" i="3"/>
  <c r="AC54" i="3"/>
  <c r="AC55" i="3"/>
  <c r="AC56" i="3"/>
  <c r="AC57" i="3"/>
  <c r="AC58" i="3"/>
  <c r="AC59" i="3"/>
  <c r="AC63" i="3"/>
  <c r="AC64" i="3"/>
  <c r="AC65" i="3"/>
  <c r="AC66" i="3"/>
  <c r="AC68" i="3"/>
  <c r="AC69" i="3"/>
  <c r="AC70" i="3"/>
  <c r="AC73" i="3"/>
  <c r="AC74" i="3"/>
  <c r="AC75" i="3"/>
  <c r="AC76" i="3"/>
  <c r="AC77" i="3"/>
  <c r="AC78" i="3"/>
  <c r="AC79" i="3"/>
  <c r="AC80" i="3"/>
  <c r="AC81" i="3"/>
  <c r="AC82" i="3"/>
  <c r="AC84" i="3"/>
  <c r="AC85" i="3"/>
  <c r="AC86" i="3"/>
  <c r="AC87" i="3"/>
  <c r="AC88" i="3"/>
  <c r="AC90" i="3"/>
  <c r="AC91" i="3"/>
  <c r="AC92" i="3"/>
  <c r="AC93" i="3"/>
  <c r="AC100" i="3"/>
  <c r="AC101" i="3"/>
  <c r="AC102" i="3"/>
  <c r="AC103" i="3"/>
  <c r="AC104" i="3"/>
  <c r="AC107" i="3"/>
  <c r="AC111" i="3"/>
  <c r="AC112" i="3"/>
  <c r="AC113" i="3"/>
  <c r="AC114" i="3"/>
  <c r="AC115" i="3"/>
  <c r="AC116" i="3"/>
  <c r="AC117" i="3"/>
  <c r="AC118" i="3"/>
  <c r="AC119" i="3"/>
  <c r="AC120" i="3"/>
  <c r="AC121" i="3"/>
  <c r="AC122" i="3"/>
  <c r="AC123" i="3"/>
  <c r="AC124" i="3"/>
  <c r="AC125" i="3"/>
  <c r="AC126" i="3"/>
  <c r="AC127" i="3"/>
  <c r="AC128" i="3"/>
  <c r="AC129" i="3"/>
  <c r="AC130" i="3"/>
  <c r="AC131" i="3"/>
  <c r="AC132" i="3"/>
  <c r="AC133" i="3"/>
  <c r="AC135" i="3"/>
  <c r="AC139" i="3"/>
  <c r="AB99" i="3"/>
  <c r="AB98" i="3"/>
  <c r="AC98" i="3" s="1"/>
  <c r="AB97" i="3"/>
  <c r="AC97" i="3" s="1"/>
  <c r="AB96" i="3"/>
  <c r="AB95" i="3"/>
  <c r="AB94" i="3" s="1"/>
  <c r="AB105" i="3" s="1"/>
  <c r="AB89" i="3"/>
  <c r="AB83" i="3"/>
  <c r="AB72" i="3"/>
  <c r="AB49" i="3" s="1"/>
  <c r="AB46" i="3" s="1"/>
  <c r="AB62" i="3"/>
  <c r="AB47" i="3" s="1"/>
  <c r="AB31" i="3" s="1"/>
  <c r="AB61" i="3"/>
  <c r="AB60" i="3"/>
  <c r="AB52" i="3"/>
  <c r="AB48" i="3" s="1"/>
  <c r="AB50" i="3"/>
  <c r="AB110" i="3" s="1"/>
  <c r="AB40" i="3"/>
  <c r="AB36" i="3"/>
  <c r="AB35" i="3"/>
  <c r="AB21" i="3"/>
  <c r="AB20" i="3" s="1"/>
  <c r="AB16" i="3"/>
  <c r="AB14" i="3"/>
  <c r="AB11" i="3" s="1"/>
  <c r="AB137" i="3" s="1"/>
  <c r="AB13" i="3"/>
  <c r="AB12" i="3"/>
  <c r="AB138" i="3" s="1"/>
  <c r="AB45" i="3" l="1"/>
  <c r="AB29" i="3" s="1"/>
  <c r="AB10" i="3" s="1"/>
  <c r="AB136" i="3" s="1"/>
  <c r="AB134" i="3" s="1"/>
  <c r="AB106" i="3"/>
  <c r="AB108" i="3"/>
  <c r="AB30" i="3"/>
  <c r="AB109" i="3"/>
  <c r="P68" i="3"/>
  <c r="P60" i="3" s="1"/>
  <c r="Q68" i="3"/>
  <c r="Q60" i="3" s="1"/>
  <c r="O68" i="3"/>
  <c r="O60" i="3" s="1"/>
  <c r="Q72" i="3" l="1"/>
  <c r="Q49" i="3"/>
  <c r="Q21" i="3" l="1"/>
  <c r="Q20" i="3" l="1"/>
  <c r="O83" i="3"/>
  <c r="P99" i="3"/>
  <c r="Q99" i="3"/>
  <c r="O99" i="3"/>
  <c r="O89" i="3"/>
  <c r="Q89" i="3"/>
  <c r="Q83" i="3"/>
  <c r="P83" i="3"/>
  <c r="P95" i="3"/>
  <c r="Q95" i="3"/>
  <c r="O95" i="3"/>
  <c r="P97" i="3"/>
  <c r="T25" i="3" s="1"/>
  <c r="Q97" i="3"/>
  <c r="O97" i="3"/>
  <c r="S25" i="3" s="1"/>
  <c r="P96" i="3"/>
  <c r="Q96" i="3"/>
  <c r="O96" i="3"/>
  <c r="Q98" i="3"/>
  <c r="U23" i="3" s="1"/>
  <c r="P98" i="3"/>
  <c r="O98" i="3"/>
  <c r="S23" i="3"/>
  <c r="T26" i="3"/>
  <c r="S26" i="3"/>
  <c r="U24" i="3"/>
  <c r="T24" i="3"/>
  <c r="S24" i="3"/>
  <c r="T23" i="3"/>
  <c r="R23" i="3"/>
  <c r="O94" i="3" l="1"/>
  <c r="Q94" i="3"/>
  <c r="P94" i="3"/>
  <c r="R24" i="3"/>
  <c r="Q40" i="3" l="1"/>
  <c r="P40" i="3"/>
  <c r="O40" i="3"/>
  <c r="M40" i="3"/>
  <c r="L40" i="3"/>
  <c r="K40" i="3"/>
  <c r="J40" i="3"/>
  <c r="N40" i="3"/>
  <c r="I41" i="3"/>
  <c r="AC40" i="3" l="1"/>
  <c r="I40" i="3"/>
  <c r="N36" i="3"/>
  <c r="AC36" i="3" s="1"/>
  <c r="M36" i="3"/>
  <c r="M35" i="3"/>
  <c r="N35" i="3"/>
  <c r="AC35" i="3" s="1"/>
  <c r="N72" i="3" l="1"/>
  <c r="AC72" i="3" s="1"/>
  <c r="O72" i="3"/>
  <c r="AA45" i="3"/>
  <c r="AA46" i="3" l="1"/>
  <c r="AC42" i="3"/>
  <c r="AA42" i="3"/>
  <c r="T78" i="3" l="1"/>
  <c r="V68" i="3"/>
  <c r="O36" i="3" l="1"/>
  <c r="P36" i="3"/>
  <c r="Q36" i="3"/>
  <c r="I39" i="3"/>
  <c r="Q52" i="3" l="1"/>
  <c r="Q136" i="3" s="1"/>
  <c r="P52" i="3"/>
  <c r="M31" i="3" l="1"/>
  <c r="L31" i="3"/>
  <c r="K31" i="3"/>
  <c r="J31" i="3"/>
  <c r="N83" i="3" l="1"/>
  <c r="AC83" i="3" s="1"/>
  <c r="AC60" i="3"/>
  <c r="N52" i="3"/>
  <c r="U25" i="3"/>
  <c r="U26" i="3"/>
  <c r="N89" i="3"/>
  <c r="AC89" i="3" s="1"/>
  <c r="P72" i="3"/>
  <c r="L36" i="3"/>
  <c r="K36" i="3"/>
  <c r="J36" i="3"/>
  <c r="L35" i="3"/>
  <c r="K35" i="3"/>
  <c r="J35" i="3"/>
  <c r="Q35" i="3"/>
  <c r="P35" i="3"/>
  <c r="O35" i="3"/>
  <c r="P21" i="3"/>
  <c r="O21" i="3"/>
  <c r="J21" i="3"/>
  <c r="AC52" i="3" l="1"/>
  <c r="N20" i="3"/>
  <c r="AC20" i="3" s="1"/>
  <c r="AC21" i="3"/>
  <c r="N16" i="3"/>
  <c r="I16" i="3" l="1"/>
  <c r="AC16" i="3"/>
  <c r="I70" i="3"/>
  <c r="T138" i="3" l="1"/>
  <c r="Q14" i="3" l="1"/>
  <c r="P14" i="3"/>
  <c r="O14" i="3"/>
  <c r="N14" i="3"/>
  <c r="N11" i="3" l="1"/>
  <c r="AC11" i="3" s="1"/>
  <c r="AC14" i="3"/>
  <c r="I14" i="3"/>
  <c r="O137" i="3" l="1"/>
  <c r="I18" i="3"/>
  <c r="P49" i="3"/>
  <c r="O49" i="3"/>
  <c r="O46" i="3" s="1"/>
  <c r="N12" i="3"/>
  <c r="AC12" i="3" s="1"/>
  <c r="Q62" i="3"/>
  <c r="P62" i="3"/>
  <c r="O62" i="3"/>
  <c r="N62" i="3"/>
  <c r="M62" i="3"/>
  <c r="L62" i="3"/>
  <c r="K62" i="3"/>
  <c r="Q61" i="3"/>
  <c r="Q145" i="3" s="1"/>
  <c r="P61" i="3"/>
  <c r="P145" i="3" s="1"/>
  <c r="O61" i="3"/>
  <c r="O145" i="3" s="1"/>
  <c r="N61" i="3"/>
  <c r="M61" i="3"/>
  <c r="L61" i="3"/>
  <c r="K61" i="3"/>
  <c r="J62" i="3"/>
  <c r="J61" i="3"/>
  <c r="I69" i="3"/>
  <c r="AC62" i="3" l="1"/>
  <c r="N138" i="3"/>
  <c r="N157" i="3" s="1"/>
  <c r="N137" i="3"/>
  <c r="AC61" i="3"/>
  <c r="O30" i="3"/>
  <c r="O109" i="3"/>
  <c r="AC138" i="3"/>
  <c r="X109" i="3"/>
  <c r="P46" i="3"/>
  <c r="P50" i="3"/>
  <c r="P47" i="3"/>
  <c r="P31" i="3" s="1"/>
  <c r="O50" i="3"/>
  <c r="O110" i="3" s="1"/>
  <c r="O47" i="3"/>
  <c r="O31" i="3" s="1"/>
  <c r="Q50" i="3"/>
  <c r="Q110" i="3" s="1"/>
  <c r="Q47" i="3"/>
  <c r="Q31" i="3" s="1"/>
  <c r="I62" i="3"/>
  <c r="N47" i="3"/>
  <c r="AC47" i="3" s="1"/>
  <c r="N50" i="3"/>
  <c r="AC50" i="3" s="1"/>
  <c r="I61" i="3"/>
  <c r="N156" i="3" l="1"/>
  <c r="X110" i="3"/>
  <c r="P110" i="3"/>
  <c r="P30" i="3"/>
  <c r="T17" i="3" s="1"/>
  <c r="T18" i="3" s="1"/>
  <c r="P109" i="3"/>
  <c r="I47" i="3"/>
  <c r="N31" i="3"/>
  <c r="N110" i="3"/>
  <c r="I50" i="3"/>
  <c r="I31" i="3" l="1"/>
  <c r="AC31" i="3"/>
  <c r="I110" i="3"/>
  <c r="AC110" i="3"/>
  <c r="P105" i="3" l="1"/>
  <c r="P89" i="3"/>
  <c r="P136" i="3" s="1"/>
  <c r="P137" i="3"/>
  <c r="S17" i="3"/>
  <c r="S18" i="3" s="1"/>
  <c r="P48" i="3" l="1"/>
  <c r="X108" i="3" s="1"/>
  <c r="T19" i="3"/>
  <c r="Q46" i="3"/>
  <c r="Q13" i="3"/>
  <c r="U11" i="3" s="1"/>
  <c r="P20" i="3"/>
  <c r="P13" i="3"/>
  <c r="T11" i="3" s="1"/>
  <c r="T13" i="3" l="1"/>
  <c r="T15" i="3"/>
  <c r="Q30" i="3"/>
  <c r="U17" i="3" s="1"/>
  <c r="U18" i="3" s="1"/>
  <c r="Q109" i="3"/>
  <c r="Q137" i="3"/>
  <c r="P106" i="3"/>
  <c r="P45" i="3"/>
  <c r="P108" i="3" s="1"/>
  <c r="P29" i="3" l="1"/>
  <c r="M104" i="3"/>
  <c r="M103" i="3"/>
  <c r="M102" i="3"/>
  <c r="M93" i="3"/>
  <c r="M92" i="3"/>
  <c r="P10" i="3" l="1"/>
  <c r="T14" i="3" s="1"/>
  <c r="M86" i="3"/>
  <c r="M91" i="3"/>
  <c r="M90" i="3"/>
  <c r="M85" i="3"/>
  <c r="M87" i="3"/>
  <c r="M84" i="3"/>
  <c r="M66" i="3"/>
  <c r="M65" i="3"/>
  <c r="M64" i="3"/>
  <c r="M54" i="3"/>
  <c r="M57" i="3"/>
  <c r="M55" i="3"/>
  <c r="M26" i="3"/>
  <c r="M23" i="3"/>
  <c r="M60" i="3" l="1"/>
  <c r="M83" i="3"/>
  <c r="M89" i="3"/>
  <c r="M56" i="3" l="1"/>
  <c r="I36" i="3"/>
  <c r="I38" i="3"/>
  <c r="M24" i="3"/>
  <c r="M25" i="3"/>
  <c r="M21" i="3" l="1"/>
  <c r="M19" i="3"/>
  <c r="M51" i="3"/>
  <c r="M58" i="3"/>
  <c r="I35" i="3" l="1"/>
  <c r="I37" i="3"/>
  <c r="M72" i="3" l="1"/>
  <c r="M49" i="3" l="1"/>
  <c r="M46" i="3"/>
  <c r="M30" i="3" s="1"/>
  <c r="M137" i="3"/>
  <c r="I76" i="3" l="1"/>
  <c r="I34" i="3" l="1"/>
  <c r="I102" i="3"/>
  <c r="I81" i="3"/>
  <c r="I82" i="3"/>
  <c r="I86" i="3"/>
  <c r="I90" i="3"/>
  <c r="I91" i="3"/>
  <c r="I92" i="3"/>
  <c r="I93" i="3"/>
  <c r="I80" i="3"/>
  <c r="I66" i="3"/>
  <c r="I67" i="3"/>
  <c r="L68" i="3" l="1"/>
  <c r="L27" i="3" l="1"/>
  <c r="I27" i="3" s="1"/>
  <c r="Q48" i="3" l="1"/>
  <c r="I89" i="3" l="1"/>
  <c r="L64" i="3"/>
  <c r="L60" i="3" s="1"/>
  <c r="L104" i="3"/>
  <c r="L99" i="3" s="1"/>
  <c r="L94" i="3" s="1"/>
  <c r="M98" i="3"/>
  <c r="M97" i="3"/>
  <c r="R25" i="3"/>
  <c r="L97" i="3"/>
  <c r="L95" i="3"/>
  <c r="L84" i="3"/>
  <c r="N48" i="3" l="1"/>
  <c r="AC48" i="3" s="1"/>
  <c r="P134" i="3"/>
  <c r="I87" i="3"/>
  <c r="I97" i="3"/>
  <c r="L83" i="3"/>
  <c r="I84" i="3"/>
  <c r="I85" i="3"/>
  <c r="L98" i="3"/>
  <c r="L78" i="3"/>
  <c r="S138" i="3" l="1"/>
  <c r="S139" i="3" s="1"/>
  <c r="P149" i="3"/>
  <c r="I83" i="3"/>
  <c r="L59" i="3"/>
  <c r="O52" i="3"/>
  <c r="L55" i="3"/>
  <c r="O48" i="3" l="1"/>
  <c r="O136" i="3"/>
  <c r="L25" i="3"/>
  <c r="O13" i="3"/>
  <c r="S11" i="3" s="1"/>
  <c r="L17" i="3"/>
  <c r="L15" i="3" s="1"/>
  <c r="L13" i="3" l="1"/>
  <c r="S15" i="3"/>
  <c r="S13" i="3"/>
  <c r="L88" i="3"/>
  <c r="I88" i="3" s="1"/>
  <c r="L28" i="3"/>
  <c r="Q28" i="3"/>
  <c r="P28" i="3"/>
  <c r="O28" i="3"/>
  <c r="I28" i="3" l="1"/>
  <c r="K57" i="3"/>
  <c r="I57" i="3" s="1"/>
  <c r="K25" i="3"/>
  <c r="I25" i="3" s="1"/>
  <c r="K68" i="3"/>
  <c r="K104" i="3" l="1"/>
  <c r="I104" i="3" s="1"/>
  <c r="K79" i="3"/>
  <c r="I79" i="3" s="1"/>
  <c r="K77" i="3"/>
  <c r="K65" i="3"/>
  <c r="K64" i="3"/>
  <c r="K59" i="3"/>
  <c r="K58" i="3"/>
  <c r="K55" i="3"/>
  <c r="I55" i="3" s="1"/>
  <c r="K56" i="3"/>
  <c r="I56" i="3" s="1"/>
  <c r="K51" i="3"/>
  <c r="K23" i="3"/>
  <c r="K17" i="3"/>
  <c r="K60" i="3" l="1"/>
  <c r="L52" i="3"/>
  <c r="M101" i="3"/>
  <c r="L48" i="3" l="1"/>
  <c r="L45" i="3"/>
  <c r="M95" i="3"/>
  <c r="N13" i="3"/>
  <c r="AC13" i="3" l="1"/>
  <c r="L108" i="3"/>
  <c r="L29" i="3"/>
  <c r="N49" i="3"/>
  <c r="AC49" i="3" s="1"/>
  <c r="N145" i="3"/>
  <c r="I23" i="3"/>
  <c r="AC137" i="3" l="1"/>
  <c r="N46" i="3"/>
  <c r="O20" i="3"/>
  <c r="K26" i="3"/>
  <c r="I26" i="3" s="1"/>
  <c r="K103" i="3"/>
  <c r="N30" i="3" l="1"/>
  <c r="AC30" i="3" s="1"/>
  <c r="AC46" i="3"/>
  <c r="N109" i="3"/>
  <c r="AC109" i="3" s="1"/>
  <c r="N99" i="3"/>
  <c r="AC99" i="3" s="1"/>
  <c r="N95" i="3" l="1"/>
  <c r="K54" i="3"/>
  <c r="I54" i="3" s="1"/>
  <c r="K96" i="3"/>
  <c r="AC95" i="3" l="1"/>
  <c r="V109" i="3"/>
  <c r="M96" i="3"/>
  <c r="M99" i="3"/>
  <c r="W109" i="3" l="1"/>
  <c r="M94" i="3"/>
  <c r="N96" i="3"/>
  <c r="I103" i="3"/>
  <c r="I120" i="3"/>
  <c r="I121" i="3"/>
  <c r="K117" i="3"/>
  <c r="K116" i="3"/>
  <c r="M143" i="3" l="1"/>
  <c r="N152" i="3"/>
  <c r="N153" i="3" s="1"/>
  <c r="R26" i="3"/>
  <c r="AC96" i="3"/>
  <c r="V110" i="3"/>
  <c r="N94" i="3"/>
  <c r="N136" i="3" s="1"/>
  <c r="K123" i="3"/>
  <c r="I123" i="3" s="1"/>
  <c r="K122" i="3"/>
  <c r="O151" i="3" l="1"/>
  <c r="N134" i="3"/>
  <c r="N148" i="3" s="1"/>
  <c r="V108" i="3"/>
  <c r="AC94" i="3"/>
  <c r="W110" i="3"/>
  <c r="N105" i="3"/>
  <c r="N45" i="3"/>
  <c r="R48" i="3"/>
  <c r="K130" i="3"/>
  <c r="I130" i="3" s="1"/>
  <c r="M15" i="3"/>
  <c r="K24" i="3"/>
  <c r="N106" i="3" l="1"/>
  <c r="AC106" i="3" s="1"/>
  <c r="AC105" i="3"/>
  <c r="R45" i="3"/>
  <c r="R46" i="3" s="1"/>
  <c r="AC45" i="3"/>
  <c r="N108" i="3"/>
  <c r="AC108" i="3" s="1"/>
  <c r="I24" i="3"/>
  <c r="K21" i="3"/>
  <c r="K20" i="3" s="1"/>
  <c r="W108" i="3"/>
  <c r="S19" i="3"/>
  <c r="O45" i="3"/>
  <c r="O108" i="3" s="1"/>
  <c r="O105" i="3"/>
  <c r="O106" i="3" s="1"/>
  <c r="N29" i="3"/>
  <c r="N10" i="3" s="1"/>
  <c r="N155" i="3" s="1"/>
  <c r="M13" i="3"/>
  <c r="K101" i="3"/>
  <c r="I101" i="3" s="1"/>
  <c r="AC10" i="3" l="1"/>
  <c r="AC29" i="3"/>
  <c r="O29" i="3"/>
  <c r="O10" i="3" s="1"/>
  <c r="K52" i="3"/>
  <c r="K15" i="3"/>
  <c r="R47" i="3" l="1"/>
  <c r="S14" i="3"/>
  <c r="O134" i="3"/>
  <c r="K132" i="3"/>
  <c r="K138" i="3" s="1"/>
  <c r="I138" i="3" s="1"/>
  <c r="I122" i="3"/>
  <c r="K115" i="3"/>
  <c r="K114" i="3"/>
  <c r="I118" i="3"/>
  <c r="I119" i="3"/>
  <c r="I117" i="3"/>
  <c r="I116" i="3"/>
  <c r="K75" i="3"/>
  <c r="R138" i="3" l="1"/>
  <c r="R139" i="3" s="1"/>
  <c r="O149" i="3"/>
  <c r="AC136" i="3"/>
  <c r="K133" i="3"/>
  <c r="I133" i="3" s="1"/>
  <c r="K12" i="3"/>
  <c r="I12" i="3" s="1"/>
  <c r="I114" i="3"/>
  <c r="K112" i="3"/>
  <c r="I132" i="3"/>
  <c r="K113" i="3"/>
  <c r="K33" i="3" s="1"/>
  <c r="I115" i="3"/>
  <c r="J98" i="3"/>
  <c r="J96" i="3"/>
  <c r="I96" i="3" s="1"/>
  <c r="J95" i="3"/>
  <c r="K98" i="3"/>
  <c r="L105" i="3"/>
  <c r="K95" i="3"/>
  <c r="AC134" i="3" l="1"/>
  <c r="I95" i="3"/>
  <c r="K48" i="3"/>
  <c r="K94" i="3"/>
  <c r="K136" i="3" s="1"/>
  <c r="K32" i="3"/>
  <c r="I32" i="3" s="1"/>
  <c r="I112" i="3"/>
  <c r="I33" i="3"/>
  <c r="I113" i="3"/>
  <c r="K45" i="3" l="1"/>
  <c r="K108" i="3" l="1"/>
  <c r="K29" i="3"/>
  <c r="L72" i="3"/>
  <c r="L46" i="3" s="1"/>
  <c r="L30" i="3" s="1"/>
  <c r="K72" i="3"/>
  <c r="K46" i="3" l="1"/>
  <c r="K30" i="3" s="1"/>
  <c r="M20" i="3"/>
  <c r="K137" i="3"/>
  <c r="K49" i="3"/>
  <c r="L20" i="3"/>
  <c r="L49" i="3"/>
  <c r="M105" i="3"/>
  <c r="M52" i="3"/>
  <c r="J52" i="3"/>
  <c r="I21" i="3"/>
  <c r="J17" i="3"/>
  <c r="K13" i="3"/>
  <c r="K105" i="3"/>
  <c r="J94" i="3"/>
  <c r="K99" i="3"/>
  <c r="J99" i="3"/>
  <c r="M48" i="3" l="1"/>
  <c r="M136" i="3"/>
  <c r="K106" i="3"/>
  <c r="I17" i="3"/>
  <c r="K109" i="3"/>
  <c r="M45" i="3"/>
  <c r="M29" i="3" s="1"/>
  <c r="I52" i="3"/>
  <c r="M109" i="3"/>
  <c r="L109" i="3"/>
  <c r="L106" i="3"/>
  <c r="M106" i="3"/>
  <c r="K134" i="3"/>
  <c r="J105" i="3"/>
  <c r="J68" i="3"/>
  <c r="I68" i="3" s="1"/>
  <c r="I137" i="3" l="1"/>
  <c r="J77" i="3"/>
  <c r="I77" i="3" s="1"/>
  <c r="J58" i="3"/>
  <c r="I58" i="3" s="1"/>
  <c r="J59" i="3"/>
  <c r="I59" i="3" s="1"/>
  <c r="M108" i="3" l="1"/>
  <c r="M134" i="3"/>
  <c r="L134" i="3"/>
  <c r="J64" i="3"/>
  <c r="J19" i="3"/>
  <c r="J15" i="3" s="1"/>
  <c r="I15" i="3" l="1"/>
  <c r="I64" i="3"/>
  <c r="I19" i="3"/>
  <c r="J74" i="3"/>
  <c r="I74" i="3" s="1"/>
  <c r="J75" i="3"/>
  <c r="I75" i="3" s="1"/>
  <c r="J72" i="3" l="1"/>
  <c r="J13" i="3"/>
  <c r="I13" i="3" s="1"/>
  <c r="J78" i="3"/>
  <c r="I78" i="3" s="1"/>
  <c r="I72" i="3" l="1"/>
  <c r="J46" i="3"/>
  <c r="J30" i="3" s="1"/>
  <c r="I30" i="3" s="1"/>
  <c r="I11" i="3"/>
  <c r="J49" i="3"/>
  <c r="I49" i="3" s="1"/>
  <c r="J51" i="3"/>
  <c r="I51" i="3" l="1"/>
  <c r="I46" i="3"/>
  <c r="J109" i="3"/>
  <c r="I109" i="3" s="1"/>
  <c r="J20" i="3"/>
  <c r="I20" i="3" s="1"/>
  <c r="J65" i="3" l="1"/>
  <c r="I65" i="3" l="1"/>
  <c r="J60" i="3"/>
  <c r="J136" i="3" s="1"/>
  <c r="I60" i="3"/>
  <c r="J48" i="3" l="1"/>
  <c r="I48" i="3" s="1"/>
  <c r="J106" i="3" l="1"/>
  <c r="J45" i="3"/>
  <c r="J29" i="3" s="1"/>
  <c r="J10" i="3" s="1"/>
  <c r="J108" i="3" l="1"/>
  <c r="J134" i="3"/>
  <c r="I98" i="3" l="1"/>
  <c r="I99" i="3"/>
  <c r="I94" i="3"/>
  <c r="Q45" i="3" l="1"/>
  <c r="Q105" i="3"/>
  <c r="I45" i="3" l="1"/>
  <c r="Q108" i="3"/>
  <c r="I108" i="3" s="1"/>
  <c r="Q29" i="3"/>
  <c r="Q10" i="3" s="1"/>
  <c r="Q106" i="3"/>
  <c r="I106" i="3" s="1"/>
  <c r="I105" i="3"/>
  <c r="I29" i="3" l="1"/>
  <c r="Y30" i="3" s="1"/>
  <c r="I10" i="3"/>
  <c r="Q134" i="3" l="1"/>
  <c r="I136" i="3"/>
  <c r="I165" i="3" s="1"/>
  <c r="I134" i="3" l="1"/>
  <c r="Q149" i="3"/>
</calcChain>
</file>

<file path=xl/sharedStrings.xml><?xml version="1.0" encoding="utf-8"?>
<sst xmlns="http://schemas.openxmlformats.org/spreadsheetml/2006/main" count="726" uniqueCount="120">
  <si>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</si>
  <si>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</si>
  <si>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</si>
  <si>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</si>
  <si>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</si>
  <si>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</si>
  <si>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</si>
  <si>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</si>
  <si>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</si>
  <si>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</si>
  <si>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</si>
  <si>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</si>
  <si>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</si>
  <si>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</si>
  <si>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</si>
  <si>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</si>
  <si>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</si>
  <si>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</si>
  <si>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</si>
  <si>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</si>
  <si>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</si>
  <si>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</si>
  <si>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</si>
  <si>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</si>
  <si>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</si>
  <si>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</si>
  <si>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</si>
  <si>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</si>
  <si>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</si>
  <si>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</si>
  <si>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</si>
  <si>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Бюджет Астраханской области</t>
  </si>
  <si>
    <t>Управление по коммунальному хозяйству администрации МО "Город Астрахань", МБУ  г. Астрахань "Чистый город"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</si>
  <si>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</si>
  <si>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</si>
  <si>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</si>
  <si>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t xml:space="preserve">Администрация Кировского района </t>
  </si>
  <si>
    <t>2019 год</t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</si>
  <si>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</si>
  <si>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</si>
  <si>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</si>
  <si>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t>Итого по Задаче 2.1.</t>
  </si>
  <si>
    <t>Итого по Задаче 2.2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</si>
  <si>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</si>
  <si>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</si>
  <si>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t>2020 год</t>
  </si>
  <si>
    <t>Управление по капитальному хозяйству и благоустройству администрации муниципального образования "Города Астрахани"</t>
  </si>
  <si>
    <t>2021 год</t>
  </si>
  <si>
    <t>2022 год</t>
  </si>
  <si>
    <t>2023 год</t>
  </si>
  <si>
    <t>ж</t>
  </si>
  <si>
    <t>Администрация Совесткого района</t>
  </si>
  <si>
    <t>Администрации Ленинского района,Трусовского района,Кировского района, Советского района</t>
  </si>
  <si>
    <r>
      <t xml:space="preserve">Цель 1. </t>
    </r>
    <r>
      <rPr>
        <sz val="13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</si>
  <si>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3"/>
        <color theme="1"/>
        <rFont val="Times New Roman"/>
        <family val="1"/>
        <charset val="204"/>
      </rPr>
      <t>Задача 1.1.</t>
    </r>
    <r>
      <rPr>
        <sz val="13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</si>
  <si>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1.1.1. </t>
    </r>
    <r>
      <rPr>
        <sz val="13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</si>
  <si>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Мероприятие 1. </t>
    </r>
    <r>
      <rPr>
        <sz val="13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</si>
  <si>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3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</si>
  <si>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</si>
  <si>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3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</si>
  <si>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1.3.1. </t>
    </r>
    <r>
      <rPr>
        <sz val="13"/>
        <color theme="1"/>
        <rFont val="Times New Roman"/>
        <family val="1"/>
        <charset val="204"/>
      </rPr>
      <t>Приобретение техники в лизинг</t>
    </r>
  </si>
  <si>
    <r>
      <rPr>
        <b/>
        <sz val="13"/>
        <color theme="1"/>
        <rFont val="Times New Roman"/>
        <family val="1"/>
        <charset val="204"/>
      </rPr>
      <t>Мероприятие 1</t>
    </r>
    <r>
      <rPr>
        <sz val="13"/>
        <color theme="1"/>
        <rFont val="Times New Roman"/>
        <family val="1"/>
        <charset val="204"/>
      </rPr>
      <t xml:space="preserve">. Закупка специализированной техники для муниципальныхучреждений дорожного и коммунального хозяйства </t>
    </r>
  </si>
  <si>
    <r>
      <t xml:space="preserve">Цель 1.1.  </t>
    </r>
    <r>
      <rPr>
        <sz val="13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</si>
  <si>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3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3"/>
        <color theme="1"/>
        <rFont val="Times New Roman"/>
        <family val="1"/>
        <charset val="204"/>
      </rPr>
      <t>"</t>
    </r>
  </si>
  <si>
    <r>
      <rPr>
        <b/>
        <sz val="13"/>
        <color theme="1"/>
        <rFont val="Times New Roman"/>
        <family val="1"/>
        <charset val="204"/>
      </rPr>
      <t xml:space="preserve">Мероприятие 1.1.1. </t>
    </r>
    <r>
      <rPr>
        <sz val="13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</si>
  <si>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3"/>
        <color theme="1"/>
        <rFont val="Times New Roman"/>
        <family val="1"/>
        <charset val="204"/>
      </rPr>
      <t xml:space="preserve">Мероприятие 1.1.2. </t>
    </r>
    <r>
      <rPr>
        <sz val="13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</si>
  <si>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3"/>
        <color theme="1"/>
        <rFont val="Times New Roman"/>
        <family val="1"/>
        <charset val="204"/>
      </rPr>
      <t xml:space="preserve">Мероприятие 1.1.4. </t>
    </r>
    <r>
      <rPr>
        <sz val="13"/>
        <color theme="1"/>
        <rFont val="Times New Roman"/>
        <family val="1"/>
        <charset val="204"/>
      </rPr>
      <t>Освещение города Астрахани</t>
    </r>
  </si>
  <si>
    <r>
      <rPr>
        <b/>
        <sz val="13"/>
        <color theme="1"/>
        <rFont val="Times New Roman"/>
        <family val="1"/>
        <charset val="204"/>
      </rPr>
      <t xml:space="preserve">Мероприятие 1.1.5. </t>
    </r>
    <r>
      <rPr>
        <sz val="13"/>
        <color theme="1"/>
        <rFont val="Times New Roman"/>
        <family val="1"/>
        <charset val="204"/>
      </rPr>
      <t xml:space="preserve">Текущие расходы по благоустройству </t>
    </r>
  </si>
  <si>
    <r>
      <t xml:space="preserve">Мероприятие 1.1.11. </t>
    </r>
    <r>
      <rPr>
        <sz val="13"/>
        <rFont val="Times New Roman"/>
        <family val="1"/>
        <charset val="204"/>
      </rPr>
      <t>Изготовление и установка аншлагов топонимических объектов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</si>
  <si>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</si>
  <si>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3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</si>
  <si>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Цель 2.1.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</si>
  <si>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3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</si>
  <si>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3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</si>
  <si>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3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</si>
  <si>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Мероприятие 2.1.3. </t>
    </r>
    <r>
      <rPr>
        <sz val="13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</si>
  <si>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2.2.1. </t>
    </r>
    <r>
      <rPr>
        <sz val="13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</si>
  <si>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rPr>
        <b/>
        <sz val="13"/>
        <color theme="1"/>
        <rFont val="Times New Roman"/>
        <family val="1"/>
        <charset val="204"/>
      </rPr>
      <t xml:space="preserve"> Мероприятие 1. </t>
    </r>
    <r>
      <rPr>
        <sz val="13"/>
        <color theme="1"/>
        <rFont val="Times New Roman"/>
        <family val="1"/>
        <charset val="204"/>
      </rPr>
      <t xml:space="preserve">  Демонтаж самовольно установленных строений</t>
    </r>
  </si>
  <si>
    <r>
      <rPr>
        <b/>
        <sz val="13"/>
        <color theme="1"/>
        <rFont val="Times New Roman"/>
        <family val="1"/>
        <charset val="204"/>
      </rPr>
      <t>Мероприятие 1.1.6.</t>
    </r>
    <r>
      <rPr>
        <sz val="13"/>
        <color theme="1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</si>
  <si>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Управление по коммунальному хозяйству и благоустройству администрации МО "Город Астрахань"(МБУ г. Астрахани "Чистый город")</t>
  </si>
  <si>
    <t>Управление по коммунальному хозяйству и благоустройству администраци МО "Город Астрахань"</t>
  </si>
  <si>
    <t>Администрация муниципального образования "Город Астрахань" (Управление экономического развития муниципального образования "Город Астрахань")</t>
  </si>
  <si>
    <r>
      <t xml:space="preserve">Задача 2.2. </t>
    </r>
    <r>
      <rPr>
        <sz val="13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</si>
  <si>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каптальному строительству администрации муниципального образования "Город астрахань"</t>
  </si>
  <si>
    <r>
      <rPr>
        <b/>
        <sz val="13"/>
        <color theme="1"/>
        <rFont val="Times New Roman"/>
        <family val="1"/>
        <charset val="204"/>
      </rPr>
      <t xml:space="preserve">Мероприятие 1.1.8. </t>
    </r>
    <r>
      <rPr>
        <sz val="13"/>
        <color theme="1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</si>
  <si>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3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</si>
  <si>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3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</si>
  <si>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1.1.12. </t>
    </r>
    <r>
      <rPr>
        <sz val="13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</si>
  <si>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1.1.14 </t>
    </r>
    <r>
      <rPr>
        <sz val="13"/>
        <rFont val="Times New Roman"/>
        <family val="1"/>
        <charset val="204"/>
      </rPr>
      <t>Обустройство контейнерных площадок</t>
    </r>
  </si>
  <si>
    <r>
      <rPr>
        <b/>
        <sz val="13"/>
        <color theme="1"/>
        <rFont val="Times New Roman"/>
        <family val="1"/>
        <charset val="204"/>
      </rPr>
      <t xml:space="preserve">Мероприятие 1.1.7. </t>
    </r>
    <r>
      <rPr>
        <sz val="13"/>
        <color theme="1"/>
        <rFont val="Times New Roman"/>
        <family val="1"/>
        <charset val="204"/>
      </rPr>
      <t>Устройство приюта для безнадзорных животных на 300 мест в Наримановском районе Астраханской области</t>
    </r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</si>
  <si>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</si>
  <si>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</si>
  <si>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</si>
  <si>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r>
      <t xml:space="preserve">Мероприятие 1.1.11.   </t>
    </r>
    <r>
      <rPr>
        <sz val="13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</si>
  <si>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 Управление по капитальному строительству администрации МО "Город Астрахань"</t>
  </si>
  <si>
    <r>
      <t xml:space="preserve">Мероприятие 1.1.13 </t>
    </r>
    <r>
      <rPr>
        <sz val="13"/>
        <rFont val="Times New Roman"/>
        <family val="1"/>
        <charset val="204"/>
      </rPr>
      <t>Развитие территориальных округов</t>
    </r>
  </si>
  <si>
    <r>
      <t xml:space="preserve">Задача 1.3. </t>
    </r>
    <r>
      <rPr>
        <sz val="13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</si>
  <si>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 xml:space="preserve">Задача 1.4.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</si>
  <si>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1.5. </t>
    </r>
    <r>
      <rPr>
        <sz val="13"/>
        <color theme="1"/>
        <rFont val="Times New Roman"/>
        <family val="1"/>
        <charset val="204"/>
      </rPr>
      <t>Повышение уровня материальной обеспеченности и качества эксплуатации коммунальной инфраструктуры</t>
    </r>
  </si>
  <si>
    <t xml:space="preserve">Приложение 3 к постановлению администрации муниципального образования 
"Город Астрахань" от________№___________                                                                               Приложение 2 к муниципальной программе муниципального образования
 "Город Астрахань" "Повышение уровня благоустройства и улучшение санитарного состояния города Астрахани  </t>
  </si>
  <si>
    <t>Управление по коммунальному хозяйству и благоустройству администрации МО "Город Астрахань", МБУ  г.Астрахани "Зеленый город"</t>
  </si>
  <si>
    <t>Итого</t>
  </si>
  <si>
    <t>Администрации Ленинского района, Кировского района, Трусовского района, Советского района</t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</si>
  <si>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района, Трусовского района, МБУ  "Мосты и каналы"</t>
  </si>
  <si>
    <t>Управление по коммунальному хозяйству и благоустройству администрации МО "Город Астрахань"  "Мосты и каналы"</t>
  </si>
  <si>
    <t xml:space="preserve">Начальник управления </t>
  </si>
  <si>
    <r>
      <t xml:space="preserve">Основное мероприятие 1.5.2.  </t>
    </r>
    <r>
      <rPr>
        <sz val="13"/>
        <rFont val="Times New Roman"/>
        <family val="1"/>
        <charset val="204"/>
      </rPr>
      <t>Оказание финансовой помощи в целях предупреждения банкротства муниципальных унитарных предприятий города Астрахани</t>
    </r>
  </si>
  <si>
    <t xml:space="preserve">Администрация Ленинского района </t>
  </si>
  <si>
    <t xml:space="preserve">Администрация Советского района </t>
  </si>
  <si>
    <t xml:space="preserve">Администрация Трусовского района </t>
  </si>
  <si>
    <r>
      <t xml:space="preserve">Основное мероприятие 1.5.1. </t>
    </r>
    <r>
      <rPr>
        <sz val="13"/>
        <rFont val="Times New Roman"/>
        <family val="1"/>
        <charset val="204"/>
      </rPr>
      <t>Погашение кредиторской задолженности за потребленный природный газ муниципальных теплоснабжающих предприятий муниципального образования  «Город Астрахань» перед юридическими лицами, осуществляющими поставки природного газа</t>
    </r>
  </si>
  <si>
    <r>
      <rPr>
        <b/>
        <sz val="13"/>
        <color theme="1"/>
        <rFont val="Times New Roman"/>
        <family val="1"/>
        <charset val="204"/>
      </rPr>
      <t>Задача 1.6.</t>
    </r>
    <r>
      <rPr>
        <sz val="13"/>
        <color theme="1"/>
        <rFont val="Times New Roman"/>
        <family val="1"/>
        <charset val="204"/>
      </rPr>
      <t xml:space="preserve"> Создание условий для обеспечения жителей города Астрахани услугами бытового обслуживания</t>
    </r>
  </si>
  <si>
    <r>
      <rPr>
        <b/>
        <sz val="13"/>
        <color theme="1"/>
        <rFont val="Times New Roman"/>
        <family val="1"/>
        <charset val="204"/>
      </rPr>
      <t>Основное мероприятие 1.6.1.</t>
    </r>
    <r>
      <rPr>
        <sz val="13"/>
        <color theme="1"/>
        <rFont val="Times New Roman"/>
        <family val="1"/>
        <charset val="204"/>
      </rPr>
      <t xml:space="preserve">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</t>
    </r>
  </si>
  <si>
    <r>
      <t xml:space="preserve">Мероприятие 1.1.3 </t>
    </r>
    <r>
      <rPr>
        <sz val="13"/>
        <color theme="1"/>
        <rFont val="Times New Roman"/>
        <family val="1"/>
        <charset val="204"/>
      </rPr>
      <t>Комплексное содержание  парков, скверов, набережных (МБУ г. Астрахани "Зеленый город")</t>
    </r>
  </si>
  <si>
    <t>Управление по коммунальному  хозяйству и благоустройству администрации муниципального образования "Город Астрахань"</t>
  </si>
  <si>
    <t>*</t>
  </si>
  <si>
    <t>с обл</t>
  </si>
  <si>
    <t>без обл</t>
  </si>
  <si>
    <t>С.А. Дронов</t>
  </si>
  <si>
    <t xml:space="preserve"> "МБУ г. Астрахани "Чистый город"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</si>
</sst>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3"/>
      <color theme="1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12">
    <xf numFmtId="0" fontId="0" fillId="0" borderId="0" xfId="0"/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Border="1"/>
    <xf numFmtId="0" fontId="3" fillId="0" borderId="0" xfId="0" applyFont="1" applyFill="1" applyBorder="1"/>
    <xf numFmtId="4" fontId="3" fillId="0" borderId="1" xfId="2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/>
    <xf numFmtId="4" fontId="4" fillId="0" borderId="1" xfId="2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Fill="1" applyBorder="1" applyAlignment="1">
      <alignment horizontal="center" vertical="center" wrapText="1"/>
    </xf>
    <xf numFmtId="4" fontId="3" fillId="0" borderId="7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wrapText="1"/>
    </xf>
    <xf numFmtId="2" fontId="6" fillId="0" borderId="9" xfId="0" applyNumberFormat="1" applyFont="1" applyFill="1" applyBorder="1" applyAlignment="1">
      <alignment vertical="center" wrapText="1"/>
    </xf>
    <xf numFmtId="2" fontId="6" fillId="0" borderId="0" xfId="0" applyNumberFormat="1" applyFont="1" applyFill="1" applyBorder="1" applyAlignment="1">
      <alignment vertical="center" wrapText="1"/>
    </xf>
    <xf numFmtId="2" fontId="6" fillId="0" borderId="10" xfId="0" applyNumberFormat="1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2" fontId="6" fillId="0" borderId="11" xfId="0" applyNumberFormat="1" applyFont="1" applyFill="1" applyBorder="1" applyAlignment="1">
      <alignment vertical="center" wrapText="1"/>
    </xf>
    <xf numFmtId="2" fontId="6" fillId="0" borderId="5" xfId="0" applyNumberFormat="1" applyFont="1" applyFill="1" applyBorder="1" applyAlignment="1">
      <alignment vertical="center" wrapText="1"/>
    </xf>
    <xf numFmtId="2" fontId="6" fillId="0" borderId="12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" fontId="6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/>
    <xf numFmtId="4" fontId="3" fillId="0" borderId="0" xfId="0" applyNumberFormat="1" applyFont="1" applyFill="1"/>
    <xf numFmtId="4" fontId="3" fillId="0" borderId="7" xfId="0" applyNumberFormat="1" applyFont="1" applyFill="1" applyBorder="1"/>
    <xf numFmtId="0" fontId="3" fillId="0" borderId="7" xfId="0" applyFont="1" applyFill="1" applyBorder="1"/>
    <xf numFmtId="0" fontId="3" fillId="0" borderId="1" xfId="0" applyFont="1" applyFill="1" applyBorder="1"/>
    <xf numFmtId="0" fontId="4" fillId="0" borderId="2" xfId="0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left" wrapText="1"/>
    </xf>
    <xf numFmtId="0" fontId="3" fillId="0" borderId="6" xfId="0" applyFont="1" applyFill="1" applyBorder="1" applyAlignment="1">
      <alignment horizontal="center" vertical="center"/>
    </xf>
    <xf numFmtId="4" fontId="15" fillId="0" borderId="0" xfId="0" applyNumberFormat="1" applyFont="1" applyFill="1" applyBorder="1"/>
    <xf numFmtId="4" fontId="6" fillId="0" borderId="0" xfId="0" applyNumberFormat="1" applyFont="1" applyFill="1" applyBorder="1"/>
    <xf numFmtId="0" fontId="6" fillId="0" borderId="0" xfId="0" applyFont="1" applyFill="1"/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4" fillId="0" borderId="0" xfId="0" applyFont="1" applyFill="1" applyAlignment="1"/>
    <xf numFmtId="0" fontId="0" fillId="0" borderId="0" xfId="0" applyFill="1"/>
    <xf numFmtId="2" fontId="5" fillId="0" borderId="1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11" fillId="0" borderId="0" xfId="1" applyFont="1" applyFill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2" fontId="3" fillId="0" borderId="0" xfId="0" applyNumberFormat="1" applyFont="1" applyFill="1"/>
    <xf numFmtId="0" fontId="4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5" fillId="0" borderId="7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center" wrapText="1"/>
    </xf>
    <xf numFmtId="2" fontId="6" fillId="0" borderId="7" xfId="0" applyNumberFormat="1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/>
    </xf>
    <xf numFmtId="0" fontId="11" fillId="0" borderId="0" xfId="1" applyFont="1" applyFill="1" applyAlignment="1">
      <alignment horizontal="center" vertical="center" wrapText="1"/>
    </xf>
    <xf numFmtId="4" fontId="16" fillId="0" borderId="0" xfId="0" applyNumberFormat="1" applyFont="1" applyFill="1" applyAlignment="1">
      <alignment horizontal="left" vertical="center"/>
    </xf>
    <xf numFmtId="4" fontId="0" fillId="0" borderId="0" xfId="0" applyNumberFormat="1" applyFill="1"/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97"/>
  <sheetViews>
    <sheetView tabSelected="1" view="pageBreakPreview" topLeftCell="A4" zoomScale="70" zoomScaleSheetLayoutView="70" zoomScalePageLayoutView="40" workbookViewId="0">
      <pane xSplit="4" ySplit="6" topLeftCell="N69" activePane="bottomRight" state="frozen"/>
      <selection activeCell="A4" sqref="A4"/>
      <selection pane="topRight" activeCell="E4" sqref="E4"/>
      <selection pane="bottomLeft" activeCell="A11" sqref="A11"/>
      <selection pane="bottomRight" activeCell="AE77" sqref="AE77"/>
    </sheetView>
  </sheetViews>
  <sheetFormatPr defaultColWidth="11.5703125" defaultRowHeight="16.5" x14ac:dyDescent="0.25"/>
  <cols>
    <col min="1" max="1" width="5.5703125" style="26" customWidth="1"/>
    <col min="2" max="2" width="42" style="26" customWidth="1"/>
    <col min="3" max="3" width="51.7109375" style="26" customWidth="1"/>
    <col min="4" max="4" width="27.140625" style="26" customWidth="1"/>
    <col min="5" max="5" width="12.140625" style="26" customWidth="1"/>
    <col min="6" max="6" width="11" style="26" customWidth="1"/>
    <col min="7" max="7" width="10.42578125" style="26" customWidth="1"/>
    <col min="8" max="8" width="10.7109375" style="26" customWidth="1"/>
    <col min="9" max="9" width="22" style="26" customWidth="1"/>
    <col min="10" max="10" width="19.5703125" style="26" customWidth="1"/>
    <col min="11" max="11" width="20.7109375" style="26" customWidth="1"/>
    <col min="12" max="12" width="20" style="26" customWidth="1"/>
    <col min="13" max="13" width="21" style="26" customWidth="1"/>
    <col min="14" max="14" width="21.7109375" style="26" customWidth="1"/>
    <col min="15" max="15" width="23.140625" style="26" customWidth="1"/>
    <col min="16" max="16" width="21.5703125" style="26" customWidth="1"/>
    <col min="17" max="17" width="23.85546875" style="26" customWidth="1"/>
    <col min="18" max="18" width="33.85546875" style="26" customWidth="1"/>
    <col min="19" max="20" width="22.7109375" style="26" hidden="1" customWidth="1"/>
    <col min="21" max="21" width="21.85546875" style="26" hidden="1" customWidth="1"/>
    <col min="22" max="22" width="38.28515625" style="26" hidden="1" customWidth="1"/>
    <col min="23" max="23" width="16" style="26" hidden="1" customWidth="1"/>
    <col min="24" max="24" width="13.42578125" style="26" hidden="1" customWidth="1"/>
    <col min="25" max="25" width="20.7109375" style="26" hidden="1" customWidth="1"/>
    <col min="26" max="26" width="11.5703125" style="26" hidden="1" customWidth="1"/>
    <col min="27" max="27" width="24.140625" style="26" hidden="1" customWidth="1"/>
    <col min="28" max="28" width="21.7109375" style="26" customWidth="1"/>
    <col min="29" max="29" width="17.28515625" style="26" customWidth="1"/>
    <col min="30" max="30" width="22.28515625" style="26" customWidth="1"/>
    <col min="31" max="32" width="17.28515625" style="26" customWidth="1"/>
    <col min="33" max="33" width="16.85546875" style="26" customWidth="1"/>
    <col min="34" max="35" width="17.28515625" style="26" customWidth="1"/>
    <col min="36" max="36" width="26" style="26" customWidth="1"/>
    <col min="37" max="247" width="11.5703125" style="26"/>
    <col min="248" max="248" width="4.5703125" style="26" customWidth="1"/>
    <col min="249" max="249" width="29.140625" style="26" customWidth="1"/>
    <col min="250" max="250" width="14.140625" style="26" customWidth="1"/>
    <col min="251" max="251" width="11.5703125" style="26"/>
    <col min="252" max="252" width="10" style="26" customWidth="1"/>
    <col min="253" max="253" width="19.85546875" style="26" customWidth="1"/>
    <col min="254" max="254" width="12.28515625" style="26" customWidth="1"/>
    <col min="255" max="255" width="10" style="26" customWidth="1"/>
    <col min="256" max="256" width="10.140625" style="26" customWidth="1"/>
    <col min="257" max="257" width="10.28515625" style="26" customWidth="1"/>
    <col min="258" max="258" width="10.42578125" style="26" customWidth="1"/>
    <col min="259" max="260" width="10.85546875" style="26" customWidth="1"/>
    <col min="261" max="261" width="9.7109375" style="26" customWidth="1"/>
    <col min="262" max="262" width="12.85546875" style="26" customWidth="1"/>
    <col min="263" max="503" width="11.5703125" style="26"/>
    <col min="504" max="504" width="4.5703125" style="26" customWidth="1"/>
    <col min="505" max="505" width="29.140625" style="26" customWidth="1"/>
    <col min="506" max="506" width="14.140625" style="26" customWidth="1"/>
    <col min="507" max="507" width="11.5703125" style="26"/>
    <col min="508" max="508" width="10" style="26" customWidth="1"/>
    <col min="509" max="509" width="19.85546875" style="26" customWidth="1"/>
    <col min="510" max="510" width="12.28515625" style="26" customWidth="1"/>
    <col min="511" max="511" width="10" style="26" customWidth="1"/>
    <col min="512" max="512" width="10.140625" style="26" customWidth="1"/>
    <col min="513" max="513" width="10.28515625" style="26" customWidth="1"/>
    <col min="514" max="514" width="10.42578125" style="26" customWidth="1"/>
    <col min="515" max="516" width="10.85546875" style="26" customWidth="1"/>
    <col min="517" max="517" width="9.7109375" style="26" customWidth="1"/>
    <col min="518" max="518" width="12.85546875" style="26" customWidth="1"/>
    <col min="519" max="759" width="11.5703125" style="26"/>
    <col min="760" max="760" width="4.5703125" style="26" customWidth="1"/>
    <col min="761" max="761" width="29.140625" style="26" customWidth="1"/>
    <col min="762" max="762" width="14.140625" style="26" customWidth="1"/>
    <col min="763" max="763" width="11.5703125" style="26"/>
    <col min="764" max="764" width="10" style="26" customWidth="1"/>
    <col min="765" max="765" width="19.85546875" style="26" customWidth="1"/>
    <col min="766" max="766" width="12.28515625" style="26" customWidth="1"/>
    <col min="767" max="767" width="10" style="26" customWidth="1"/>
    <col min="768" max="768" width="10.140625" style="26" customWidth="1"/>
    <col min="769" max="769" width="10.28515625" style="26" customWidth="1"/>
    <col min="770" max="770" width="10.42578125" style="26" customWidth="1"/>
    <col min="771" max="772" width="10.85546875" style="26" customWidth="1"/>
    <col min="773" max="773" width="9.7109375" style="26" customWidth="1"/>
    <col min="774" max="774" width="12.85546875" style="26" customWidth="1"/>
    <col min="775" max="1015" width="11.5703125" style="26"/>
    <col min="1016" max="1016" width="4.5703125" style="26" customWidth="1"/>
    <col min="1017" max="1017" width="29.140625" style="26" customWidth="1"/>
    <col min="1018" max="1018" width="14.140625" style="26" customWidth="1"/>
    <col min="1019" max="1019" width="11.5703125" style="26"/>
    <col min="1020" max="1020" width="10" style="26" customWidth="1"/>
    <col min="1021" max="1021" width="19.85546875" style="26" customWidth="1"/>
    <col min="1022" max="1022" width="12.28515625" style="26" customWidth="1"/>
    <col min="1023" max="1023" width="10" style="26" customWidth="1"/>
    <col min="1024" max="1024" width="10.140625" style="26" customWidth="1"/>
    <col min="1025" max="1025" width="10.28515625" style="26" customWidth="1"/>
    <col min="1026" max="1026" width="10.42578125" style="26" customWidth="1"/>
    <col min="1027" max="1028" width="10.85546875" style="26" customWidth="1"/>
    <col min="1029" max="1029" width="9.7109375" style="26" customWidth="1"/>
    <col min="1030" max="1030" width="12.85546875" style="26" customWidth="1"/>
    <col min="1031" max="1271" width="11.5703125" style="26"/>
    <col min="1272" max="1272" width="4.5703125" style="26" customWidth="1"/>
    <col min="1273" max="1273" width="29.140625" style="26" customWidth="1"/>
    <col min="1274" max="1274" width="14.140625" style="26" customWidth="1"/>
    <col min="1275" max="1275" width="11.5703125" style="26"/>
    <col min="1276" max="1276" width="10" style="26" customWidth="1"/>
    <col min="1277" max="1277" width="19.85546875" style="26" customWidth="1"/>
    <col min="1278" max="1278" width="12.28515625" style="26" customWidth="1"/>
    <col min="1279" max="1279" width="10" style="26" customWidth="1"/>
    <col min="1280" max="1280" width="10.140625" style="26" customWidth="1"/>
    <col min="1281" max="1281" width="10.28515625" style="26" customWidth="1"/>
    <col min="1282" max="1282" width="10.42578125" style="26" customWidth="1"/>
    <col min="1283" max="1284" width="10.85546875" style="26" customWidth="1"/>
    <col min="1285" max="1285" width="9.7109375" style="26" customWidth="1"/>
    <col min="1286" max="1286" width="12.85546875" style="26" customWidth="1"/>
    <col min="1287" max="1527" width="11.5703125" style="26"/>
    <col min="1528" max="1528" width="4.5703125" style="26" customWidth="1"/>
    <col min="1529" max="1529" width="29.140625" style="26" customWidth="1"/>
    <col min="1530" max="1530" width="14.140625" style="26" customWidth="1"/>
    <col min="1531" max="1531" width="11.5703125" style="26"/>
    <col min="1532" max="1532" width="10" style="26" customWidth="1"/>
    <col min="1533" max="1533" width="19.85546875" style="26" customWidth="1"/>
    <col min="1534" max="1534" width="12.28515625" style="26" customWidth="1"/>
    <col min="1535" max="1535" width="10" style="26" customWidth="1"/>
    <col min="1536" max="1536" width="10.140625" style="26" customWidth="1"/>
    <col min="1537" max="1537" width="10.28515625" style="26" customWidth="1"/>
    <col min="1538" max="1538" width="10.42578125" style="26" customWidth="1"/>
    <col min="1539" max="1540" width="10.85546875" style="26" customWidth="1"/>
    <col min="1541" max="1541" width="9.7109375" style="26" customWidth="1"/>
    <col min="1542" max="1542" width="12.85546875" style="26" customWidth="1"/>
    <col min="1543" max="1783" width="11.5703125" style="26"/>
    <col min="1784" max="1784" width="4.5703125" style="26" customWidth="1"/>
    <col min="1785" max="1785" width="29.140625" style="26" customWidth="1"/>
    <col min="1786" max="1786" width="14.140625" style="26" customWidth="1"/>
    <col min="1787" max="1787" width="11.5703125" style="26"/>
    <col min="1788" max="1788" width="10" style="26" customWidth="1"/>
    <col min="1789" max="1789" width="19.85546875" style="26" customWidth="1"/>
    <col min="1790" max="1790" width="12.28515625" style="26" customWidth="1"/>
    <col min="1791" max="1791" width="10" style="26" customWidth="1"/>
    <col min="1792" max="1792" width="10.140625" style="26" customWidth="1"/>
    <col min="1793" max="1793" width="10.28515625" style="26" customWidth="1"/>
    <col min="1794" max="1794" width="10.42578125" style="26" customWidth="1"/>
    <col min="1795" max="1796" width="10.85546875" style="26" customWidth="1"/>
    <col min="1797" max="1797" width="9.7109375" style="26" customWidth="1"/>
    <col min="1798" max="1798" width="12.85546875" style="26" customWidth="1"/>
    <col min="1799" max="2039" width="11.5703125" style="26"/>
    <col min="2040" max="2040" width="4.5703125" style="26" customWidth="1"/>
    <col min="2041" max="2041" width="29.140625" style="26" customWidth="1"/>
    <col min="2042" max="2042" width="14.140625" style="26" customWidth="1"/>
    <col min="2043" max="2043" width="11.5703125" style="26"/>
    <col min="2044" max="2044" width="10" style="26" customWidth="1"/>
    <col min="2045" max="2045" width="19.85546875" style="26" customWidth="1"/>
    <col min="2046" max="2046" width="12.28515625" style="26" customWidth="1"/>
    <col min="2047" max="2047" width="10" style="26" customWidth="1"/>
    <col min="2048" max="2048" width="10.140625" style="26" customWidth="1"/>
    <col min="2049" max="2049" width="10.28515625" style="26" customWidth="1"/>
    <col min="2050" max="2050" width="10.42578125" style="26" customWidth="1"/>
    <col min="2051" max="2052" width="10.85546875" style="26" customWidth="1"/>
    <col min="2053" max="2053" width="9.7109375" style="26" customWidth="1"/>
    <col min="2054" max="2054" width="12.85546875" style="26" customWidth="1"/>
    <col min="2055" max="2295" width="11.5703125" style="26"/>
    <col min="2296" max="2296" width="4.5703125" style="26" customWidth="1"/>
    <col min="2297" max="2297" width="29.140625" style="26" customWidth="1"/>
    <col min="2298" max="2298" width="14.140625" style="26" customWidth="1"/>
    <col min="2299" max="2299" width="11.5703125" style="26"/>
    <col min="2300" max="2300" width="10" style="26" customWidth="1"/>
    <col min="2301" max="2301" width="19.85546875" style="26" customWidth="1"/>
    <col min="2302" max="2302" width="12.28515625" style="26" customWidth="1"/>
    <col min="2303" max="2303" width="10" style="26" customWidth="1"/>
    <col min="2304" max="2304" width="10.140625" style="26" customWidth="1"/>
    <col min="2305" max="2305" width="10.28515625" style="26" customWidth="1"/>
    <col min="2306" max="2306" width="10.42578125" style="26" customWidth="1"/>
    <col min="2307" max="2308" width="10.85546875" style="26" customWidth="1"/>
    <col min="2309" max="2309" width="9.7109375" style="26" customWidth="1"/>
    <col min="2310" max="2310" width="12.85546875" style="26" customWidth="1"/>
    <col min="2311" max="2551" width="11.5703125" style="26"/>
    <col min="2552" max="2552" width="4.5703125" style="26" customWidth="1"/>
    <col min="2553" max="2553" width="29.140625" style="26" customWidth="1"/>
    <col min="2554" max="2554" width="14.140625" style="26" customWidth="1"/>
    <col min="2555" max="2555" width="11.5703125" style="26"/>
    <col min="2556" max="2556" width="10" style="26" customWidth="1"/>
    <col min="2557" max="2557" width="19.85546875" style="26" customWidth="1"/>
    <col min="2558" max="2558" width="12.28515625" style="26" customWidth="1"/>
    <col min="2559" max="2559" width="10" style="26" customWidth="1"/>
    <col min="2560" max="2560" width="10.140625" style="26" customWidth="1"/>
    <col min="2561" max="2561" width="10.28515625" style="26" customWidth="1"/>
    <col min="2562" max="2562" width="10.42578125" style="26" customWidth="1"/>
    <col min="2563" max="2564" width="10.85546875" style="26" customWidth="1"/>
    <col min="2565" max="2565" width="9.7109375" style="26" customWidth="1"/>
    <col min="2566" max="2566" width="12.85546875" style="26" customWidth="1"/>
    <col min="2567" max="2807" width="11.5703125" style="26"/>
    <col min="2808" max="2808" width="4.5703125" style="26" customWidth="1"/>
    <col min="2809" max="2809" width="29.140625" style="26" customWidth="1"/>
    <col min="2810" max="2810" width="14.140625" style="26" customWidth="1"/>
    <col min="2811" max="2811" width="11.5703125" style="26"/>
    <col min="2812" max="2812" width="10" style="26" customWidth="1"/>
    <col min="2813" max="2813" width="19.85546875" style="26" customWidth="1"/>
    <col min="2814" max="2814" width="12.28515625" style="26" customWidth="1"/>
    <col min="2815" max="2815" width="10" style="26" customWidth="1"/>
    <col min="2816" max="2816" width="10.140625" style="26" customWidth="1"/>
    <col min="2817" max="2817" width="10.28515625" style="26" customWidth="1"/>
    <col min="2818" max="2818" width="10.42578125" style="26" customWidth="1"/>
    <col min="2819" max="2820" width="10.85546875" style="26" customWidth="1"/>
    <col min="2821" max="2821" width="9.7109375" style="26" customWidth="1"/>
    <col min="2822" max="2822" width="12.85546875" style="26" customWidth="1"/>
    <col min="2823" max="3063" width="11.5703125" style="26"/>
    <col min="3064" max="3064" width="4.5703125" style="26" customWidth="1"/>
    <col min="3065" max="3065" width="29.140625" style="26" customWidth="1"/>
    <col min="3066" max="3066" width="14.140625" style="26" customWidth="1"/>
    <col min="3067" max="3067" width="11.5703125" style="26"/>
    <col min="3068" max="3068" width="10" style="26" customWidth="1"/>
    <col min="3069" max="3069" width="19.85546875" style="26" customWidth="1"/>
    <col min="3070" max="3070" width="12.28515625" style="26" customWidth="1"/>
    <col min="3071" max="3071" width="10" style="26" customWidth="1"/>
    <col min="3072" max="3072" width="10.140625" style="26" customWidth="1"/>
    <col min="3073" max="3073" width="10.28515625" style="26" customWidth="1"/>
    <col min="3074" max="3074" width="10.42578125" style="26" customWidth="1"/>
    <col min="3075" max="3076" width="10.85546875" style="26" customWidth="1"/>
    <col min="3077" max="3077" width="9.7109375" style="26" customWidth="1"/>
    <col min="3078" max="3078" width="12.85546875" style="26" customWidth="1"/>
    <col min="3079" max="3319" width="11.5703125" style="26"/>
    <col min="3320" max="3320" width="4.5703125" style="26" customWidth="1"/>
    <col min="3321" max="3321" width="29.140625" style="26" customWidth="1"/>
    <col min="3322" max="3322" width="14.140625" style="26" customWidth="1"/>
    <col min="3323" max="3323" width="11.5703125" style="26"/>
    <col min="3324" max="3324" width="10" style="26" customWidth="1"/>
    <col min="3325" max="3325" width="19.85546875" style="26" customWidth="1"/>
    <col min="3326" max="3326" width="12.28515625" style="26" customWidth="1"/>
    <col min="3327" max="3327" width="10" style="26" customWidth="1"/>
    <col min="3328" max="3328" width="10.140625" style="26" customWidth="1"/>
    <col min="3329" max="3329" width="10.28515625" style="26" customWidth="1"/>
    <col min="3330" max="3330" width="10.42578125" style="26" customWidth="1"/>
    <col min="3331" max="3332" width="10.85546875" style="26" customWidth="1"/>
    <col min="3333" max="3333" width="9.7109375" style="26" customWidth="1"/>
    <col min="3334" max="3334" width="12.85546875" style="26" customWidth="1"/>
    <col min="3335" max="3575" width="11.5703125" style="26"/>
    <col min="3576" max="3576" width="4.5703125" style="26" customWidth="1"/>
    <col min="3577" max="3577" width="29.140625" style="26" customWidth="1"/>
    <col min="3578" max="3578" width="14.140625" style="26" customWidth="1"/>
    <col min="3579" max="3579" width="11.5703125" style="26"/>
    <col min="3580" max="3580" width="10" style="26" customWidth="1"/>
    <col min="3581" max="3581" width="19.85546875" style="26" customWidth="1"/>
    <col min="3582" max="3582" width="12.28515625" style="26" customWidth="1"/>
    <col min="3583" max="3583" width="10" style="26" customWidth="1"/>
    <col min="3584" max="3584" width="10.140625" style="26" customWidth="1"/>
    <col min="3585" max="3585" width="10.28515625" style="26" customWidth="1"/>
    <col min="3586" max="3586" width="10.42578125" style="26" customWidth="1"/>
    <col min="3587" max="3588" width="10.85546875" style="26" customWidth="1"/>
    <col min="3589" max="3589" width="9.7109375" style="26" customWidth="1"/>
    <col min="3590" max="3590" width="12.85546875" style="26" customWidth="1"/>
    <col min="3591" max="3831" width="11.5703125" style="26"/>
    <col min="3832" max="3832" width="4.5703125" style="26" customWidth="1"/>
    <col min="3833" max="3833" width="29.140625" style="26" customWidth="1"/>
    <col min="3834" max="3834" width="14.140625" style="26" customWidth="1"/>
    <col min="3835" max="3835" width="11.5703125" style="26"/>
    <col min="3836" max="3836" width="10" style="26" customWidth="1"/>
    <col min="3837" max="3837" width="19.85546875" style="26" customWidth="1"/>
    <col min="3838" max="3838" width="12.28515625" style="26" customWidth="1"/>
    <col min="3839" max="3839" width="10" style="26" customWidth="1"/>
    <col min="3840" max="3840" width="10.140625" style="26" customWidth="1"/>
    <col min="3841" max="3841" width="10.28515625" style="26" customWidth="1"/>
    <col min="3842" max="3842" width="10.42578125" style="26" customWidth="1"/>
    <col min="3843" max="3844" width="10.85546875" style="26" customWidth="1"/>
    <col min="3845" max="3845" width="9.7109375" style="26" customWidth="1"/>
    <col min="3846" max="3846" width="12.85546875" style="26" customWidth="1"/>
    <col min="3847" max="4087" width="11.5703125" style="26"/>
    <col min="4088" max="4088" width="4.5703125" style="26" customWidth="1"/>
    <col min="4089" max="4089" width="29.140625" style="26" customWidth="1"/>
    <col min="4090" max="4090" width="14.140625" style="26" customWidth="1"/>
    <col min="4091" max="4091" width="11.5703125" style="26"/>
    <col min="4092" max="4092" width="10" style="26" customWidth="1"/>
    <col min="4093" max="4093" width="19.85546875" style="26" customWidth="1"/>
    <col min="4094" max="4094" width="12.28515625" style="26" customWidth="1"/>
    <col min="4095" max="4095" width="10" style="26" customWidth="1"/>
    <col min="4096" max="4096" width="10.140625" style="26" customWidth="1"/>
    <col min="4097" max="4097" width="10.28515625" style="26" customWidth="1"/>
    <col min="4098" max="4098" width="10.42578125" style="26" customWidth="1"/>
    <col min="4099" max="4100" width="10.85546875" style="26" customWidth="1"/>
    <col min="4101" max="4101" width="9.7109375" style="26" customWidth="1"/>
    <col min="4102" max="4102" width="12.85546875" style="26" customWidth="1"/>
    <col min="4103" max="4343" width="11.5703125" style="26"/>
    <col min="4344" max="4344" width="4.5703125" style="26" customWidth="1"/>
    <col min="4345" max="4345" width="29.140625" style="26" customWidth="1"/>
    <col min="4346" max="4346" width="14.140625" style="26" customWidth="1"/>
    <col min="4347" max="4347" width="11.5703125" style="26"/>
    <col min="4348" max="4348" width="10" style="26" customWidth="1"/>
    <col min="4349" max="4349" width="19.85546875" style="26" customWidth="1"/>
    <col min="4350" max="4350" width="12.28515625" style="26" customWidth="1"/>
    <col min="4351" max="4351" width="10" style="26" customWidth="1"/>
    <col min="4352" max="4352" width="10.140625" style="26" customWidth="1"/>
    <col min="4353" max="4353" width="10.28515625" style="26" customWidth="1"/>
    <col min="4354" max="4354" width="10.42578125" style="26" customWidth="1"/>
    <col min="4355" max="4356" width="10.85546875" style="26" customWidth="1"/>
    <col min="4357" max="4357" width="9.7109375" style="26" customWidth="1"/>
    <col min="4358" max="4358" width="12.85546875" style="26" customWidth="1"/>
    <col min="4359" max="4599" width="11.5703125" style="26"/>
    <col min="4600" max="4600" width="4.5703125" style="26" customWidth="1"/>
    <col min="4601" max="4601" width="29.140625" style="26" customWidth="1"/>
    <col min="4602" max="4602" width="14.140625" style="26" customWidth="1"/>
    <col min="4603" max="4603" width="11.5703125" style="26"/>
    <col min="4604" max="4604" width="10" style="26" customWidth="1"/>
    <col min="4605" max="4605" width="19.85546875" style="26" customWidth="1"/>
    <col min="4606" max="4606" width="12.28515625" style="26" customWidth="1"/>
    <col min="4607" max="4607" width="10" style="26" customWidth="1"/>
    <col min="4608" max="4608" width="10.140625" style="26" customWidth="1"/>
    <col min="4609" max="4609" width="10.28515625" style="26" customWidth="1"/>
    <col min="4610" max="4610" width="10.42578125" style="26" customWidth="1"/>
    <col min="4611" max="4612" width="10.85546875" style="26" customWidth="1"/>
    <col min="4613" max="4613" width="9.7109375" style="26" customWidth="1"/>
    <col min="4614" max="4614" width="12.85546875" style="26" customWidth="1"/>
    <col min="4615" max="4855" width="11.5703125" style="26"/>
    <col min="4856" max="4856" width="4.5703125" style="26" customWidth="1"/>
    <col min="4857" max="4857" width="29.140625" style="26" customWidth="1"/>
    <col min="4858" max="4858" width="14.140625" style="26" customWidth="1"/>
    <col min="4859" max="4859" width="11.5703125" style="26"/>
    <col min="4860" max="4860" width="10" style="26" customWidth="1"/>
    <col min="4861" max="4861" width="19.85546875" style="26" customWidth="1"/>
    <col min="4862" max="4862" width="12.28515625" style="26" customWidth="1"/>
    <col min="4863" max="4863" width="10" style="26" customWidth="1"/>
    <col min="4864" max="4864" width="10.140625" style="26" customWidth="1"/>
    <col min="4865" max="4865" width="10.28515625" style="26" customWidth="1"/>
    <col min="4866" max="4866" width="10.42578125" style="26" customWidth="1"/>
    <col min="4867" max="4868" width="10.85546875" style="26" customWidth="1"/>
    <col min="4869" max="4869" width="9.7109375" style="26" customWidth="1"/>
    <col min="4870" max="4870" width="12.85546875" style="26" customWidth="1"/>
    <col min="4871" max="5111" width="11.5703125" style="26"/>
    <col min="5112" max="5112" width="4.5703125" style="26" customWidth="1"/>
    <col min="5113" max="5113" width="29.140625" style="26" customWidth="1"/>
    <col min="5114" max="5114" width="14.140625" style="26" customWidth="1"/>
    <col min="5115" max="5115" width="11.5703125" style="26"/>
    <col min="5116" max="5116" width="10" style="26" customWidth="1"/>
    <col min="5117" max="5117" width="19.85546875" style="26" customWidth="1"/>
    <col min="5118" max="5118" width="12.28515625" style="26" customWidth="1"/>
    <col min="5119" max="5119" width="10" style="26" customWidth="1"/>
    <col min="5120" max="5120" width="10.140625" style="26" customWidth="1"/>
    <col min="5121" max="5121" width="10.28515625" style="26" customWidth="1"/>
    <col min="5122" max="5122" width="10.42578125" style="26" customWidth="1"/>
    <col min="5123" max="5124" width="10.85546875" style="26" customWidth="1"/>
    <col min="5125" max="5125" width="9.7109375" style="26" customWidth="1"/>
    <col min="5126" max="5126" width="12.85546875" style="26" customWidth="1"/>
    <col min="5127" max="5367" width="11.5703125" style="26"/>
    <col min="5368" max="5368" width="4.5703125" style="26" customWidth="1"/>
    <col min="5369" max="5369" width="29.140625" style="26" customWidth="1"/>
    <col min="5370" max="5370" width="14.140625" style="26" customWidth="1"/>
    <col min="5371" max="5371" width="11.5703125" style="26"/>
    <col min="5372" max="5372" width="10" style="26" customWidth="1"/>
    <col min="5373" max="5373" width="19.85546875" style="26" customWidth="1"/>
    <col min="5374" max="5374" width="12.28515625" style="26" customWidth="1"/>
    <col min="5375" max="5375" width="10" style="26" customWidth="1"/>
    <col min="5376" max="5376" width="10.140625" style="26" customWidth="1"/>
    <col min="5377" max="5377" width="10.28515625" style="26" customWidth="1"/>
    <col min="5378" max="5378" width="10.42578125" style="26" customWidth="1"/>
    <col min="5379" max="5380" width="10.85546875" style="26" customWidth="1"/>
    <col min="5381" max="5381" width="9.7109375" style="26" customWidth="1"/>
    <col min="5382" max="5382" width="12.85546875" style="26" customWidth="1"/>
    <col min="5383" max="5623" width="11.5703125" style="26"/>
    <col min="5624" max="5624" width="4.5703125" style="26" customWidth="1"/>
    <col min="5625" max="5625" width="29.140625" style="26" customWidth="1"/>
    <col min="5626" max="5626" width="14.140625" style="26" customWidth="1"/>
    <col min="5627" max="5627" width="11.5703125" style="26"/>
    <col min="5628" max="5628" width="10" style="26" customWidth="1"/>
    <col min="5629" max="5629" width="19.85546875" style="26" customWidth="1"/>
    <col min="5630" max="5630" width="12.28515625" style="26" customWidth="1"/>
    <col min="5631" max="5631" width="10" style="26" customWidth="1"/>
    <col min="5632" max="5632" width="10.140625" style="26" customWidth="1"/>
    <col min="5633" max="5633" width="10.28515625" style="26" customWidth="1"/>
    <col min="5634" max="5634" width="10.42578125" style="26" customWidth="1"/>
    <col min="5635" max="5636" width="10.85546875" style="26" customWidth="1"/>
    <col min="5637" max="5637" width="9.7109375" style="26" customWidth="1"/>
    <col min="5638" max="5638" width="12.85546875" style="26" customWidth="1"/>
    <col min="5639" max="5879" width="11.5703125" style="26"/>
    <col min="5880" max="5880" width="4.5703125" style="26" customWidth="1"/>
    <col min="5881" max="5881" width="29.140625" style="26" customWidth="1"/>
    <col min="5882" max="5882" width="14.140625" style="26" customWidth="1"/>
    <col min="5883" max="5883" width="11.5703125" style="26"/>
    <col min="5884" max="5884" width="10" style="26" customWidth="1"/>
    <col min="5885" max="5885" width="19.85546875" style="26" customWidth="1"/>
    <col min="5886" max="5886" width="12.28515625" style="26" customWidth="1"/>
    <col min="5887" max="5887" width="10" style="26" customWidth="1"/>
    <col min="5888" max="5888" width="10.140625" style="26" customWidth="1"/>
    <col min="5889" max="5889" width="10.28515625" style="26" customWidth="1"/>
    <col min="5890" max="5890" width="10.42578125" style="26" customWidth="1"/>
    <col min="5891" max="5892" width="10.85546875" style="26" customWidth="1"/>
    <col min="5893" max="5893" width="9.7109375" style="26" customWidth="1"/>
    <col min="5894" max="5894" width="12.85546875" style="26" customWidth="1"/>
    <col min="5895" max="6135" width="11.5703125" style="26"/>
    <col min="6136" max="6136" width="4.5703125" style="26" customWidth="1"/>
    <col min="6137" max="6137" width="29.140625" style="26" customWidth="1"/>
    <col min="6138" max="6138" width="14.140625" style="26" customWidth="1"/>
    <col min="6139" max="6139" width="11.5703125" style="26"/>
    <col min="6140" max="6140" width="10" style="26" customWidth="1"/>
    <col min="6141" max="6141" width="19.85546875" style="26" customWidth="1"/>
    <col min="6142" max="6142" width="12.28515625" style="26" customWidth="1"/>
    <col min="6143" max="6143" width="10" style="26" customWidth="1"/>
    <col min="6144" max="6144" width="10.140625" style="26" customWidth="1"/>
    <col min="6145" max="6145" width="10.28515625" style="26" customWidth="1"/>
    <col min="6146" max="6146" width="10.42578125" style="26" customWidth="1"/>
    <col min="6147" max="6148" width="10.85546875" style="26" customWidth="1"/>
    <col min="6149" max="6149" width="9.7109375" style="26" customWidth="1"/>
    <col min="6150" max="6150" width="12.85546875" style="26" customWidth="1"/>
    <col min="6151" max="6391" width="11.5703125" style="26"/>
    <col min="6392" max="6392" width="4.5703125" style="26" customWidth="1"/>
    <col min="6393" max="6393" width="29.140625" style="26" customWidth="1"/>
    <col min="6394" max="6394" width="14.140625" style="26" customWidth="1"/>
    <col min="6395" max="6395" width="11.5703125" style="26"/>
    <col min="6396" max="6396" width="10" style="26" customWidth="1"/>
    <col min="6397" max="6397" width="19.85546875" style="26" customWidth="1"/>
    <col min="6398" max="6398" width="12.28515625" style="26" customWidth="1"/>
    <col min="6399" max="6399" width="10" style="26" customWidth="1"/>
    <col min="6400" max="6400" width="10.140625" style="26" customWidth="1"/>
    <col min="6401" max="6401" width="10.28515625" style="26" customWidth="1"/>
    <col min="6402" max="6402" width="10.42578125" style="26" customWidth="1"/>
    <col min="6403" max="6404" width="10.85546875" style="26" customWidth="1"/>
    <col min="6405" max="6405" width="9.7109375" style="26" customWidth="1"/>
    <col min="6406" max="6406" width="12.85546875" style="26" customWidth="1"/>
    <col min="6407" max="6647" width="11.5703125" style="26"/>
    <col min="6648" max="6648" width="4.5703125" style="26" customWidth="1"/>
    <col min="6649" max="6649" width="29.140625" style="26" customWidth="1"/>
    <col min="6650" max="6650" width="14.140625" style="26" customWidth="1"/>
    <col min="6651" max="6651" width="11.5703125" style="26"/>
    <col min="6652" max="6652" width="10" style="26" customWidth="1"/>
    <col min="6653" max="6653" width="19.85546875" style="26" customWidth="1"/>
    <col min="6654" max="6654" width="12.28515625" style="26" customWidth="1"/>
    <col min="6655" max="6655" width="10" style="26" customWidth="1"/>
    <col min="6656" max="6656" width="10.140625" style="26" customWidth="1"/>
    <col min="6657" max="6657" width="10.28515625" style="26" customWidth="1"/>
    <col min="6658" max="6658" width="10.42578125" style="26" customWidth="1"/>
    <col min="6659" max="6660" width="10.85546875" style="26" customWidth="1"/>
    <col min="6661" max="6661" width="9.7109375" style="26" customWidth="1"/>
    <col min="6662" max="6662" width="12.85546875" style="26" customWidth="1"/>
    <col min="6663" max="6903" width="11.5703125" style="26"/>
    <col min="6904" max="6904" width="4.5703125" style="26" customWidth="1"/>
    <col min="6905" max="6905" width="29.140625" style="26" customWidth="1"/>
    <col min="6906" max="6906" width="14.140625" style="26" customWidth="1"/>
    <col min="6907" max="6907" width="11.5703125" style="26"/>
    <col min="6908" max="6908" width="10" style="26" customWidth="1"/>
    <col min="6909" max="6909" width="19.85546875" style="26" customWidth="1"/>
    <col min="6910" max="6910" width="12.28515625" style="26" customWidth="1"/>
    <col min="6911" max="6911" width="10" style="26" customWidth="1"/>
    <col min="6912" max="6912" width="10.140625" style="26" customWidth="1"/>
    <col min="6913" max="6913" width="10.28515625" style="26" customWidth="1"/>
    <col min="6914" max="6914" width="10.42578125" style="26" customWidth="1"/>
    <col min="6915" max="6916" width="10.85546875" style="26" customWidth="1"/>
    <col min="6917" max="6917" width="9.7109375" style="26" customWidth="1"/>
    <col min="6918" max="6918" width="12.85546875" style="26" customWidth="1"/>
    <col min="6919" max="7159" width="11.5703125" style="26"/>
    <col min="7160" max="7160" width="4.5703125" style="26" customWidth="1"/>
    <col min="7161" max="7161" width="29.140625" style="26" customWidth="1"/>
    <col min="7162" max="7162" width="14.140625" style="26" customWidth="1"/>
    <col min="7163" max="7163" width="11.5703125" style="26"/>
    <col min="7164" max="7164" width="10" style="26" customWidth="1"/>
    <col min="7165" max="7165" width="19.85546875" style="26" customWidth="1"/>
    <col min="7166" max="7166" width="12.28515625" style="26" customWidth="1"/>
    <col min="7167" max="7167" width="10" style="26" customWidth="1"/>
    <col min="7168" max="7168" width="10.140625" style="26" customWidth="1"/>
    <col min="7169" max="7169" width="10.28515625" style="26" customWidth="1"/>
    <col min="7170" max="7170" width="10.42578125" style="26" customWidth="1"/>
    <col min="7171" max="7172" width="10.85546875" style="26" customWidth="1"/>
    <col min="7173" max="7173" width="9.7109375" style="26" customWidth="1"/>
    <col min="7174" max="7174" width="12.85546875" style="26" customWidth="1"/>
    <col min="7175" max="7415" width="11.5703125" style="26"/>
    <col min="7416" max="7416" width="4.5703125" style="26" customWidth="1"/>
    <col min="7417" max="7417" width="29.140625" style="26" customWidth="1"/>
    <col min="7418" max="7418" width="14.140625" style="26" customWidth="1"/>
    <col min="7419" max="7419" width="11.5703125" style="26"/>
    <col min="7420" max="7420" width="10" style="26" customWidth="1"/>
    <col min="7421" max="7421" width="19.85546875" style="26" customWidth="1"/>
    <col min="7422" max="7422" width="12.28515625" style="26" customWidth="1"/>
    <col min="7423" max="7423" width="10" style="26" customWidth="1"/>
    <col min="7424" max="7424" width="10.140625" style="26" customWidth="1"/>
    <col min="7425" max="7425" width="10.28515625" style="26" customWidth="1"/>
    <col min="7426" max="7426" width="10.42578125" style="26" customWidth="1"/>
    <col min="7427" max="7428" width="10.85546875" style="26" customWidth="1"/>
    <col min="7429" max="7429" width="9.7109375" style="26" customWidth="1"/>
    <col min="7430" max="7430" width="12.85546875" style="26" customWidth="1"/>
    <col min="7431" max="7671" width="11.5703125" style="26"/>
    <col min="7672" max="7672" width="4.5703125" style="26" customWidth="1"/>
    <col min="7673" max="7673" width="29.140625" style="26" customWidth="1"/>
    <col min="7674" max="7674" width="14.140625" style="26" customWidth="1"/>
    <col min="7675" max="7675" width="11.5703125" style="26"/>
    <col min="7676" max="7676" width="10" style="26" customWidth="1"/>
    <col min="7677" max="7677" width="19.85546875" style="26" customWidth="1"/>
    <col min="7678" max="7678" width="12.28515625" style="26" customWidth="1"/>
    <col min="7679" max="7679" width="10" style="26" customWidth="1"/>
    <col min="7680" max="7680" width="10.140625" style="26" customWidth="1"/>
    <col min="7681" max="7681" width="10.28515625" style="26" customWidth="1"/>
    <col min="7682" max="7682" width="10.42578125" style="26" customWidth="1"/>
    <col min="7683" max="7684" width="10.85546875" style="26" customWidth="1"/>
    <col min="7685" max="7685" width="9.7109375" style="26" customWidth="1"/>
    <col min="7686" max="7686" width="12.85546875" style="26" customWidth="1"/>
    <col min="7687" max="7927" width="11.5703125" style="26"/>
    <col min="7928" max="7928" width="4.5703125" style="26" customWidth="1"/>
    <col min="7929" max="7929" width="29.140625" style="26" customWidth="1"/>
    <col min="7930" max="7930" width="14.140625" style="26" customWidth="1"/>
    <col min="7931" max="7931" width="11.5703125" style="26"/>
    <col min="7932" max="7932" width="10" style="26" customWidth="1"/>
    <col min="7933" max="7933" width="19.85546875" style="26" customWidth="1"/>
    <col min="7934" max="7934" width="12.28515625" style="26" customWidth="1"/>
    <col min="7935" max="7935" width="10" style="26" customWidth="1"/>
    <col min="7936" max="7936" width="10.140625" style="26" customWidth="1"/>
    <col min="7937" max="7937" width="10.28515625" style="26" customWidth="1"/>
    <col min="7938" max="7938" width="10.42578125" style="26" customWidth="1"/>
    <col min="7939" max="7940" width="10.85546875" style="26" customWidth="1"/>
    <col min="7941" max="7941" width="9.7109375" style="26" customWidth="1"/>
    <col min="7942" max="7942" width="12.85546875" style="26" customWidth="1"/>
    <col min="7943" max="8183" width="11.5703125" style="26"/>
    <col min="8184" max="8184" width="4.5703125" style="26" customWidth="1"/>
    <col min="8185" max="8185" width="29.140625" style="26" customWidth="1"/>
    <col min="8186" max="8186" width="14.140625" style="26" customWidth="1"/>
    <col min="8187" max="8187" width="11.5703125" style="26"/>
    <col min="8188" max="8188" width="10" style="26" customWidth="1"/>
    <col min="8189" max="8189" width="19.85546875" style="26" customWidth="1"/>
    <col min="8190" max="8190" width="12.28515625" style="26" customWidth="1"/>
    <col min="8191" max="8191" width="10" style="26" customWidth="1"/>
    <col min="8192" max="8192" width="10.140625" style="26" customWidth="1"/>
    <col min="8193" max="8193" width="10.28515625" style="26" customWidth="1"/>
    <col min="8194" max="8194" width="10.42578125" style="26" customWidth="1"/>
    <col min="8195" max="8196" width="10.85546875" style="26" customWidth="1"/>
    <col min="8197" max="8197" width="9.7109375" style="26" customWidth="1"/>
    <col min="8198" max="8198" width="12.85546875" style="26" customWidth="1"/>
    <col min="8199" max="8439" width="11.5703125" style="26"/>
    <col min="8440" max="8440" width="4.5703125" style="26" customWidth="1"/>
    <col min="8441" max="8441" width="29.140625" style="26" customWidth="1"/>
    <col min="8442" max="8442" width="14.140625" style="26" customWidth="1"/>
    <col min="8443" max="8443" width="11.5703125" style="26"/>
    <col min="8444" max="8444" width="10" style="26" customWidth="1"/>
    <col min="8445" max="8445" width="19.85546875" style="26" customWidth="1"/>
    <col min="8446" max="8446" width="12.28515625" style="26" customWidth="1"/>
    <col min="8447" max="8447" width="10" style="26" customWidth="1"/>
    <col min="8448" max="8448" width="10.140625" style="26" customWidth="1"/>
    <col min="8449" max="8449" width="10.28515625" style="26" customWidth="1"/>
    <col min="8450" max="8450" width="10.42578125" style="26" customWidth="1"/>
    <col min="8451" max="8452" width="10.85546875" style="26" customWidth="1"/>
    <col min="8453" max="8453" width="9.7109375" style="26" customWidth="1"/>
    <col min="8454" max="8454" width="12.85546875" style="26" customWidth="1"/>
    <col min="8455" max="8695" width="11.5703125" style="26"/>
    <col min="8696" max="8696" width="4.5703125" style="26" customWidth="1"/>
    <col min="8697" max="8697" width="29.140625" style="26" customWidth="1"/>
    <col min="8698" max="8698" width="14.140625" style="26" customWidth="1"/>
    <col min="8699" max="8699" width="11.5703125" style="26"/>
    <col min="8700" max="8700" width="10" style="26" customWidth="1"/>
    <col min="8701" max="8701" width="19.85546875" style="26" customWidth="1"/>
    <col min="8702" max="8702" width="12.28515625" style="26" customWidth="1"/>
    <col min="8703" max="8703" width="10" style="26" customWidth="1"/>
    <col min="8704" max="8704" width="10.140625" style="26" customWidth="1"/>
    <col min="8705" max="8705" width="10.28515625" style="26" customWidth="1"/>
    <col min="8706" max="8706" width="10.42578125" style="26" customWidth="1"/>
    <col min="8707" max="8708" width="10.85546875" style="26" customWidth="1"/>
    <col min="8709" max="8709" width="9.7109375" style="26" customWidth="1"/>
    <col min="8710" max="8710" width="12.85546875" style="26" customWidth="1"/>
    <col min="8711" max="8951" width="11.5703125" style="26"/>
    <col min="8952" max="8952" width="4.5703125" style="26" customWidth="1"/>
    <col min="8953" max="8953" width="29.140625" style="26" customWidth="1"/>
    <col min="8954" max="8954" width="14.140625" style="26" customWidth="1"/>
    <col min="8955" max="8955" width="11.5703125" style="26"/>
    <col min="8956" max="8956" width="10" style="26" customWidth="1"/>
    <col min="8957" max="8957" width="19.85546875" style="26" customWidth="1"/>
    <col min="8958" max="8958" width="12.28515625" style="26" customWidth="1"/>
    <col min="8959" max="8959" width="10" style="26" customWidth="1"/>
    <col min="8960" max="8960" width="10.140625" style="26" customWidth="1"/>
    <col min="8961" max="8961" width="10.28515625" style="26" customWidth="1"/>
    <col min="8962" max="8962" width="10.42578125" style="26" customWidth="1"/>
    <col min="8963" max="8964" width="10.85546875" style="26" customWidth="1"/>
    <col min="8965" max="8965" width="9.7109375" style="26" customWidth="1"/>
    <col min="8966" max="8966" width="12.85546875" style="26" customWidth="1"/>
    <col min="8967" max="9207" width="11.5703125" style="26"/>
    <col min="9208" max="9208" width="4.5703125" style="26" customWidth="1"/>
    <col min="9209" max="9209" width="29.140625" style="26" customWidth="1"/>
    <col min="9210" max="9210" width="14.140625" style="26" customWidth="1"/>
    <col min="9211" max="9211" width="11.5703125" style="26"/>
    <col min="9212" max="9212" width="10" style="26" customWidth="1"/>
    <col min="9213" max="9213" width="19.85546875" style="26" customWidth="1"/>
    <col min="9214" max="9214" width="12.28515625" style="26" customWidth="1"/>
    <col min="9215" max="9215" width="10" style="26" customWidth="1"/>
    <col min="9216" max="9216" width="10.140625" style="26" customWidth="1"/>
    <col min="9217" max="9217" width="10.28515625" style="26" customWidth="1"/>
    <col min="9218" max="9218" width="10.42578125" style="26" customWidth="1"/>
    <col min="9219" max="9220" width="10.85546875" style="26" customWidth="1"/>
    <col min="9221" max="9221" width="9.7109375" style="26" customWidth="1"/>
    <col min="9222" max="9222" width="12.85546875" style="26" customWidth="1"/>
    <col min="9223" max="9463" width="11.5703125" style="26"/>
    <col min="9464" max="9464" width="4.5703125" style="26" customWidth="1"/>
    <col min="9465" max="9465" width="29.140625" style="26" customWidth="1"/>
    <col min="9466" max="9466" width="14.140625" style="26" customWidth="1"/>
    <col min="9467" max="9467" width="11.5703125" style="26"/>
    <col min="9468" max="9468" width="10" style="26" customWidth="1"/>
    <col min="9469" max="9469" width="19.85546875" style="26" customWidth="1"/>
    <col min="9470" max="9470" width="12.28515625" style="26" customWidth="1"/>
    <col min="9471" max="9471" width="10" style="26" customWidth="1"/>
    <col min="9472" max="9472" width="10.140625" style="26" customWidth="1"/>
    <col min="9473" max="9473" width="10.28515625" style="26" customWidth="1"/>
    <col min="9474" max="9474" width="10.42578125" style="26" customWidth="1"/>
    <col min="9475" max="9476" width="10.85546875" style="26" customWidth="1"/>
    <col min="9477" max="9477" width="9.7109375" style="26" customWidth="1"/>
    <col min="9478" max="9478" width="12.85546875" style="26" customWidth="1"/>
    <col min="9479" max="9719" width="11.5703125" style="26"/>
    <col min="9720" max="9720" width="4.5703125" style="26" customWidth="1"/>
    <col min="9721" max="9721" width="29.140625" style="26" customWidth="1"/>
    <col min="9722" max="9722" width="14.140625" style="26" customWidth="1"/>
    <col min="9723" max="9723" width="11.5703125" style="26"/>
    <col min="9724" max="9724" width="10" style="26" customWidth="1"/>
    <col min="9725" max="9725" width="19.85546875" style="26" customWidth="1"/>
    <col min="9726" max="9726" width="12.28515625" style="26" customWidth="1"/>
    <col min="9727" max="9727" width="10" style="26" customWidth="1"/>
    <col min="9728" max="9728" width="10.140625" style="26" customWidth="1"/>
    <col min="9729" max="9729" width="10.28515625" style="26" customWidth="1"/>
    <col min="9730" max="9730" width="10.42578125" style="26" customWidth="1"/>
    <col min="9731" max="9732" width="10.85546875" style="26" customWidth="1"/>
    <col min="9733" max="9733" width="9.7109375" style="26" customWidth="1"/>
    <col min="9734" max="9734" width="12.85546875" style="26" customWidth="1"/>
    <col min="9735" max="9975" width="11.5703125" style="26"/>
    <col min="9976" max="9976" width="4.5703125" style="26" customWidth="1"/>
    <col min="9977" max="9977" width="29.140625" style="26" customWidth="1"/>
    <col min="9978" max="9978" width="14.140625" style="26" customWidth="1"/>
    <col min="9979" max="9979" width="11.5703125" style="26"/>
    <col min="9980" max="9980" width="10" style="26" customWidth="1"/>
    <col min="9981" max="9981" width="19.85546875" style="26" customWidth="1"/>
    <col min="9982" max="9982" width="12.28515625" style="26" customWidth="1"/>
    <col min="9983" max="9983" width="10" style="26" customWidth="1"/>
    <col min="9984" max="9984" width="10.140625" style="26" customWidth="1"/>
    <col min="9985" max="9985" width="10.28515625" style="26" customWidth="1"/>
    <col min="9986" max="9986" width="10.42578125" style="26" customWidth="1"/>
    <col min="9987" max="9988" width="10.85546875" style="26" customWidth="1"/>
    <col min="9989" max="9989" width="9.7109375" style="26" customWidth="1"/>
    <col min="9990" max="9990" width="12.85546875" style="26" customWidth="1"/>
    <col min="9991" max="10231" width="11.5703125" style="26"/>
    <col min="10232" max="10232" width="4.5703125" style="26" customWidth="1"/>
    <col min="10233" max="10233" width="29.140625" style="26" customWidth="1"/>
    <col min="10234" max="10234" width="14.140625" style="26" customWidth="1"/>
    <col min="10235" max="10235" width="11.5703125" style="26"/>
    <col min="10236" max="10236" width="10" style="26" customWidth="1"/>
    <col min="10237" max="10237" width="19.85546875" style="26" customWidth="1"/>
    <col min="10238" max="10238" width="12.28515625" style="26" customWidth="1"/>
    <col min="10239" max="10239" width="10" style="26" customWidth="1"/>
    <col min="10240" max="10240" width="10.140625" style="26" customWidth="1"/>
    <col min="10241" max="10241" width="10.28515625" style="26" customWidth="1"/>
    <col min="10242" max="10242" width="10.42578125" style="26" customWidth="1"/>
    <col min="10243" max="10244" width="10.85546875" style="26" customWidth="1"/>
    <col min="10245" max="10245" width="9.7109375" style="26" customWidth="1"/>
    <col min="10246" max="10246" width="12.85546875" style="26" customWidth="1"/>
    <col min="10247" max="10487" width="11.5703125" style="26"/>
    <col min="10488" max="10488" width="4.5703125" style="26" customWidth="1"/>
    <col min="10489" max="10489" width="29.140625" style="26" customWidth="1"/>
    <col min="10490" max="10490" width="14.140625" style="26" customWidth="1"/>
    <col min="10491" max="10491" width="11.5703125" style="26"/>
    <col min="10492" max="10492" width="10" style="26" customWidth="1"/>
    <col min="10493" max="10493" width="19.85546875" style="26" customWidth="1"/>
    <col min="10494" max="10494" width="12.28515625" style="26" customWidth="1"/>
    <col min="10495" max="10495" width="10" style="26" customWidth="1"/>
    <col min="10496" max="10496" width="10.140625" style="26" customWidth="1"/>
    <col min="10497" max="10497" width="10.28515625" style="26" customWidth="1"/>
    <col min="10498" max="10498" width="10.42578125" style="26" customWidth="1"/>
    <col min="10499" max="10500" width="10.85546875" style="26" customWidth="1"/>
    <col min="10501" max="10501" width="9.7109375" style="26" customWidth="1"/>
    <col min="10502" max="10502" width="12.85546875" style="26" customWidth="1"/>
    <col min="10503" max="10743" width="11.5703125" style="26"/>
    <col min="10744" max="10744" width="4.5703125" style="26" customWidth="1"/>
    <col min="10745" max="10745" width="29.140625" style="26" customWidth="1"/>
    <col min="10746" max="10746" width="14.140625" style="26" customWidth="1"/>
    <col min="10747" max="10747" width="11.5703125" style="26"/>
    <col min="10748" max="10748" width="10" style="26" customWidth="1"/>
    <col min="10749" max="10749" width="19.85546875" style="26" customWidth="1"/>
    <col min="10750" max="10750" width="12.28515625" style="26" customWidth="1"/>
    <col min="10751" max="10751" width="10" style="26" customWidth="1"/>
    <col min="10752" max="10752" width="10.140625" style="26" customWidth="1"/>
    <col min="10753" max="10753" width="10.28515625" style="26" customWidth="1"/>
    <col min="10754" max="10754" width="10.42578125" style="26" customWidth="1"/>
    <col min="10755" max="10756" width="10.85546875" style="26" customWidth="1"/>
    <col min="10757" max="10757" width="9.7109375" style="26" customWidth="1"/>
    <col min="10758" max="10758" width="12.85546875" style="26" customWidth="1"/>
    <col min="10759" max="10999" width="11.5703125" style="26"/>
    <col min="11000" max="11000" width="4.5703125" style="26" customWidth="1"/>
    <col min="11001" max="11001" width="29.140625" style="26" customWidth="1"/>
    <col min="11002" max="11002" width="14.140625" style="26" customWidth="1"/>
    <col min="11003" max="11003" width="11.5703125" style="26"/>
    <col min="11004" max="11004" width="10" style="26" customWidth="1"/>
    <col min="11005" max="11005" width="19.85546875" style="26" customWidth="1"/>
    <col min="11006" max="11006" width="12.28515625" style="26" customWidth="1"/>
    <col min="11007" max="11007" width="10" style="26" customWidth="1"/>
    <col min="11008" max="11008" width="10.140625" style="26" customWidth="1"/>
    <col min="11009" max="11009" width="10.28515625" style="26" customWidth="1"/>
    <col min="11010" max="11010" width="10.42578125" style="26" customWidth="1"/>
    <col min="11011" max="11012" width="10.85546875" style="26" customWidth="1"/>
    <col min="11013" max="11013" width="9.7109375" style="26" customWidth="1"/>
    <col min="11014" max="11014" width="12.85546875" style="26" customWidth="1"/>
    <col min="11015" max="11255" width="11.5703125" style="26"/>
    <col min="11256" max="11256" width="4.5703125" style="26" customWidth="1"/>
    <col min="11257" max="11257" width="29.140625" style="26" customWidth="1"/>
    <col min="11258" max="11258" width="14.140625" style="26" customWidth="1"/>
    <col min="11259" max="11259" width="11.5703125" style="26"/>
    <col min="11260" max="11260" width="10" style="26" customWidth="1"/>
    <col min="11261" max="11261" width="19.85546875" style="26" customWidth="1"/>
    <col min="11262" max="11262" width="12.28515625" style="26" customWidth="1"/>
    <col min="11263" max="11263" width="10" style="26" customWidth="1"/>
    <col min="11264" max="11264" width="10.140625" style="26" customWidth="1"/>
    <col min="11265" max="11265" width="10.28515625" style="26" customWidth="1"/>
    <col min="11266" max="11266" width="10.42578125" style="26" customWidth="1"/>
    <col min="11267" max="11268" width="10.85546875" style="26" customWidth="1"/>
    <col min="11269" max="11269" width="9.7109375" style="26" customWidth="1"/>
    <col min="11270" max="11270" width="12.85546875" style="26" customWidth="1"/>
    <col min="11271" max="11511" width="11.5703125" style="26"/>
    <col min="11512" max="11512" width="4.5703125" style="26" customWidth="1"/>
    <col min="11513" max="11513" width="29.140625" style="26" customWidth="1"/>
    <col min="11514" max="11514" width="14.140625" style="26" customWidth="1"/>
    <col min="11515" max="11515" width="11.5703125" style="26"/>
    <col min="11516" max="11516" width="10" style="26" customWidth="1"/>
    <col min="11517" max="11517" width="19.85546875" style="26" customWidth="1"/>
    <col min="11518" max="11518" width="12.28515625" style="26" customWidth="1"/>
    <col min="11519" max="11519" width="10" style="26" customWidth="1"/>
    <col min="11520" max="11520" width="10.140625" style="26" customWidth="1"/>
    <col min="11521" max="11521" width="10.28515625" style="26" customWidth="1"/>
    <col min="11522" max="11522" width="10.42578125" style="26" customWidth="1"/>
    <col min="11523" max="11524" width="10.85546875" style="26" customWidth="1"/>
    <col min="11525" max="11525" width="9.7109375" style="26" customWidth="1"/>
    <col min="11526" max="11526" width="12.85546875" style="26" customWidth="1"/>
    <col min="11527" max="11767" width="11.5703125" style="26"/>
    <col min="11768" max="11768" width="4.5703125" style="26" customWidth="1"/>
    <col min="11769" max="11769" width="29.140625" style="26" customWidth="1"/>
    <col min="11770" max="11770" width="14.140625" style="26" customWidth="1"/>
    <col min="11771" max="11771" width="11.5703125" style="26"/>
    <col min="11772" max="11772" width="10" style="26" customWidth="1"/>
    <col min="11773" max="11773" width="19.85546875" style="26" customWidth="1"/>
    <col min="11774" max="11774" width="12.28515625" style="26" customWidth="1"/>
    <col min="11775" max="11775" width="10" style="26" customWidth="1"/>
    <col min="11776" max="11776" width="10.140625" style="26" customWidth="1"/>
    <col min="11777" max="11777" width="10.28515625" style="26" customWidth="1"/>
    <col min="11778" max="11778" width="10.42578125" style="26" customWidth="1"/>
    <col min="11779" max="11780" width="10.85546875" style="26" customWidth="1"/>
    <col min="11781" max="11781" width="9.7109375" style="26" customWidth="1"/>
    <col min="11782" max="11782" width="12.85546875" style="26" customWidth="1"/>
    <col min="11783" max="12023" width="11.5703125" style="26"/>
    <col min="12024" max="12024" width="4.5703125" style="26" customWidth="1"/>
    <col min="12025" max="12025" width="29.140625" style="26" customWidth="1"/>
    <col min="12026" max="12026" width="14.140625" style="26" customWidth="1"/>
    <col min="12027" max="12027" width="11.5703125" style="26"/>
    <col min="12028" max="12028" width="10" style="26" customWidth="1"/>
    <col min="12029" max="12029" width="19.85546875" style="26" customWidth="1"/>
    <col min="12030" max="12030" width="12.28515625" style="26" customWidth="1"/>
    <col min="12031" max="12031" width="10" style="26" customWidth="1"/>
    <col min="12032" max="12032" width="10.140625" style="26" customWidth="1"/>
    <col min="12033" max="12033" width="10.28515625" style="26" customWidth="1"/>
    <col min="12034" max="12034" width="10.42578125" style="26" customWidth="1"/>
    <col min="12035" max="12036" width="10.85546875" style="26" customWidth="1"/>
    <col min="12037" max="12037" width="9.7109375" style="26" customWidth="1"/>
    <col min="12038" max="12038" width="12.85546875" style="26" customWidth="1"/>
    <col min="12039" max="12279" width="11.5703125" style="26"/>
    <col min="12280" max="12280" width="4.5703125" style="26" customWidth="1"/>
    <col min="12281" max="12281" width="29.140625" style="26" customWidth="1"/>
    <col min="12282" max="12282" width="14.140625" style="26" customWidth="1"/>
    <col min="12283" max="12283" width="11.5703125" style="26"/>
    <col min="12284" max="12284" width="10" style="26" customWidth="1"/>
    <col min="12285" max="12285" width="19.85546875" style="26" customWidth="1"/>
    <col min="12286" max="12286" width="12.28515625" style="26" customWidth="1"/>
    <col min="12287" max="12287" width="10" style="26" customWidth="1"/>
    <col min="12288" max="12288" width="10.140625" style="26" customWidth="1"/>
    <col min="12289" max="12289" width="10.28515625" style="26" customWidth="1"/>
    <col min="12290" max="12290" width="10.42578125" style="26" customWidth="1"/>
    <col min="12291" max="12292" width="10.85546875" style="26" customWidth="1"/>
    <col min="12293" max="12293" width="9.7109375" style="26" customWidth="1"/>
    <col min="12294" max="12294" width="12.85546875" style="26" customWidth="1"/>
    <col min="12295" max="12535" width="11.5703125" style="26"/>
    <col min="12536" max="12536" width="4.5703125" style="26" customWidth="1"/>
    <col min="12537" max="12537" width="29.140625" style="26" customWidth="1"/>
    <col min="12538" max="12538" width="14.140625" style="26" customWidth="1"/>
    <col min="12539" max="12539" width="11.5703125" style="26"/>
    <col min="12540" max="12540" width="10" style="26" customWidth="1"/>
    <col min="12541" max="12541" width="19.85546875" style="26" customWidth="1"/>
    <col min="12542" max="12542" width="12.28515625" style="26" customWidth="1"/>
    <col min="12543" max="12543" width="10" style="26" customWidth="1"/>
    <col min="12544" max="12544" width="10.140625" style="26" customWidth="1"/>
    <col min="12545" max="12545" width="10.28515625" style="26" customWidth="1"/>
    <col min="12546" max="12546" width="10.42578125" style="26" customWidth="1"/>
    <col min="12547" max="12548" width="10.85546875" style="26" customWidth="1"/>
    <col min="12549" max="12549" width="9.7109375" style="26" customWidth="1"/>
    <col min="12550" max="12550" width="12.85546875" style="26" customWidth="1"/>
    <col min="12551" max="12791" width="11.5703125" style="26"/>
    <col min="12792" max="12792" width="4.5703125" style="26" customWidth="1"/>
    <col min="12793" max="12793" width="29.140625" style="26" customWidth="1"/>
    <col min="12794" max="12794" width="14.140625" style="26" customWidth="1"/>
    <col min="12795" max="12795" width="11.5703125" style="26"/>
    <col min="12796" max="12796" width="10" style="26" customWidth="1"/>
    <col min="12797" max="12797" width="19.85546875" style="26" customWidth="1"/>
    <col min="12798" max="12798" width="12.28515625" style="26" customWidth="1"/>
    <col min="12799" max="12799" width="10" style="26" customWidth="1"/>
    <col min="12800" max="12800" width="10.140625" style="26" customWidth="1"/>
    <col min="12801" max="12801" width="10.28515625" style="26" customWidth="1"/>
    <col min="12802" max="12802" width="10.42578125" style="26" customWidth="1"/>
    <col min="12803" max="12804" width="10.85546875" style="26" customWidth="1"/>
    <col min="12805" max="12805" width="9.7109375" style="26" customWidth="1"/>
    <col min="12806" max="12806" width="12.85546875" style="26" customWidth="1"/>
    <col min="12807" max="13047" width="11.5703125" style="26"/>
    <col min="13048" max="13048" width="4.5703125" style="26" customWidth="1"/>
    <col min="13049" max="13049" width="29.140625" style="26" customWidth="1"/>
    <col min="13050" max="13050" width="14.140625" style="26" customWidth="1"/>
    <col min="13051" max="13051" width="11.5703125" style="26"/>
    <col min="13052" max="13052" width="10" style="26" customWidth="1"/>
    <col min="13053" max="13053" width="19.85546875" style="26" customWidth="1"/>
    <col min="13054" max="13054" width="12.28515625" style="26" customWidth="1"/>
    <col min="13055" max="13055" width="10" style="26" customWidth="1"/>
    <col min="13056" max="13056" width="10.140625" style="26" customWidth="1"/>
    <col min="13057" max="13057" width="10.28515625" style="26" customWidth="1"/>
    <col min="13058" max="13058" width="10.42578125" style="26" customWidth="1"/>
    <col min="13059" max="13060" width="10.85546875" style="26" customWidth="1"/>
    <col min="13061" max="13061" width="9.7109375" style="26" customWidth="1"/>
    <col min="13062" max="13062" width="12.85546875" style="26" customWidth="1"/>
    <col min="13063" max="13303" width="11.5703125" style="26"/>
    <col min="13304" max="13304" width="4.5703125" style="26" customWidth="1"/>
    <col min="13305" max="13305" width="29.140625" style="26" customWidth="1"/>
    <col min="13306" max="13306" width="14.140625" style="26" customWidth="1"/>
    <col min="13307" max="13307" width="11.5703125" style="26"/>
    <col min="13308" max="13308" width="10" style="26" customWidth="1"/>
    <col min="13309" max="13309" width="19.85546875" style="26" customWidth="1"/>
    <col min="13310" max="13310" width="12.28515625" style="26" customWidth="1"/>
    <col min="13311" max="13311" width="10" style="26" customWidth="1"/>
    <col min="13312" max="13312" width="10.140625" style="26" customWidth="1"/>
    <col min="13313" max="13313" width="10.28515625" style="26" customWidth="1"/>
    <col min="13314" max="13314" width="10.42578125" style="26" customWidth="1"/>
    <col min="13315" max="13316" width="10.85546875" style="26" customWidth="1"/>
    <col min="13317" max="13317" width="9.7109375" style="26" customWidth="1"/>
    <col min="13318" max="13318" width="12.85546875" style="26" customWidth="1"/>
    <col min="13319" max="13559" width="11.5703125" style="26"/>
    <col min="13560" max="13560" width="4.5703125" style="26" customWidth="1"/>
    <col min="13561" max="13561" width="29.140625" style="26" customWidth="1"/>
    <col min="13562" max="13562" width="14.140625" style="26" customWidth="1"/>
    <col min="13563" max="13563" width="11.5703125" style="26"/>
    <col min="13564" max="13564" width="10" style="26" customWidth="1"/>
    <col min="13565" max="13565" width="19.85546875" style="26" customWidth="1"/>
    <col min="13566" max="13566" width="12.28515625" style="26" customWidth="1"/>
    <col min="13567" max="13567" width="10" style="26" customWidth="1"/>
    <col min="13568" max="13568" width="10.140625" style="26" customWidth="1"/>
    <col min="13569" max="13569" width="10.28515625" style="26" customWidth="1"/>
    <col min="13570" max="13570" width="10.42578125" style="26" customWidth="1"/>
    <col min="13571" max="13572" width="10.85546875" style="26" customWidth="1"/>
    <col min="13573" max="13573" width="9.7109375" style="26" customWidth="1"/>
    <col min="13574" max="13574" width="12.85546875" style="26" customWidth="1"/>
    <col min="13575" max="13815" width="11.5703125" style="26"/>
    <col min="13816" max="13816" width="4.5703125" style="26" customWidth="1"/>
    <col min="13817" max="13817" width="29.140625" style="26" customWidth="1"/>
    <col min="13818" max="13818" width="14.140625" style="26" customWidth="1"/>
    <col min="13819" max="13819" width="11.5703125" style="26"/>
    <col min="13820" max="13820" width="10" style="26" customWidth="1"/>
    <col min="13821" max="13821" width="19.85546875" style="26" customWidth="1"/>
    <col min="13822" max="13822" width="12.28515625" style="26" customWidth="1"/>
    <col min="13823" max="13823" width="10" style="26" customWidth="1"/>
    <col min="13824" max="13824" width="10.140625" style="26" customWidth="1"/>
    <col min="13825" max="13825" width="10.28515625" style="26" customWidth="1"/>
    <col min="13826" max="13826" width="10.42578125" style="26" customWidth="1"/>
    <col min="13827" max="13828" width="10.85546875" style="26" customWidth="1"/>
    <col min="13829" max="13829" width="9.7109375" style="26" customWidth="1"/>
    <col min="13830" max="13830" width="12.85546875" style="26" customWidth="1"/>
    <col min="13831" max="14071" width="11.5703125" style="26"/>
    <col min="14072" max="14072" width="4.5703125" style="26" customWidth="1"/>
    <col min="14073" max="14073" width="29.140625" style="26" customWidth="1"/>
    <col min="14074" max="14074" width="14.140625" style="26" customWidth="1"/>
    <col min="14075" max="14075" width="11.5703125" style="26"/>
    <col min="14076" max="14076" width="10" style="26" customWidth="1"/>
    <col min="14077" max="14077" width="19.85546875" style="26" customWidth="1"/>
    <col min="14078" max="14078" width="12.28515625" style="26" customWidth="1"/>
    <col min="14079" max="14079" width="10" style="26" customWidth="1"/>
    <col min="14080" max="14080" width="10.140625" style="26" customWidth="1"/>
    <col min="14081" max="14081" width="10.28515625" style="26" customWidth="1"/>
    <col min="14082" max="14082" width="10.42578125" style="26" customWidth="1"/>
    <col min="14083" max="14084" width="10.85546875" style="26" customWidth="1"/>
    <col min="14085" max="14085" width="9.7109375" style="26" customWidth="1"/>
    <col min="14086" max="14086" width="12.85546875" style="26" customWidth="1"/>
    <col min="14087" max="14327" width="11.5703125" style="26"/>
    <col min="14328" max="14328" width="4.5703125" style="26" customWidth="1"/>
    <col min="14329" max="14329" width="29.140625" style="26" customWidth="1"/>
    <col min="14330" max="14330" width="14.140625" style="26" customWidth="1"/>
    <col min="14331" max="14331" width="11.5703125" style="26"/>
    <col min="14332" max="14332" width="10" style="26" customWidth="1"/>
    <col min="14333" max="14333" width="19.85546875" style="26" customWidth="1"/>
    <col min="14334" max="14334" width="12.28515625" style="26" customWidth="1"/>
    <col min="14335" max="14335" width="10" style="26" customWidth="1"/>
    <col min="14336" max="14336" width="10.140625" style="26" customWidth="1"/>
    <col min="14337" max="14337" width="10.28515625" style="26" customWidth="1"/>
    <col min="14338" max="14338" width="10.42578125" style="26" customWidth="1"/>
    <col min="14339" max="14340" width="10.85546875" style="26" customWidth="1"/>
    <col min="14341" max="14341" width="9.7109375" style="26" customWidth="1"/>
    <col min="14342" max="14342" width="12.85546875" style="26" customWidth="1"/>
    <col min="14343" max="14583" width="11.5703125" style="26"/>
    <col min="14584" max="14584" width="4.5703125" style="26" customWidth="1"/>
    <col min="14585" max="14585" width="29.140625" style="26" customWidth="1"/>
    <col min="14586" max="14586" width="14.140625" style="26" customWidth="1"/>
    <col min="14587" max="14587" width="11.5703125" style="26"/>
    <col min="14588" max="14588" width="10" style="26" customWidth="1"/>
    <col min="14589" max="14589" width="19.85546875" style="26" customWidth="1"/>
    <col min="14590" max="14590" width="12.28515625" style="26" customWidth="1"/>
    <col min="14591" max="14591" width="10" style="26" customWidth="1"/>
    <col min="14592" max="14592" width="10.140625" style="26" customWidth="1"/>
    <col min="14593" max="14593" width="10.28515625" style="26" customWidth="1"/>
    <col min="14594" max="14594" width="10.42578125" style="26" customWidth="1"/>
    <col min="14595" max="14596" width="10.85546875" style="26" customWidth="1"/>
    <col min="14597" max="14597" width="9.7109375" style="26" customWidth="1"/>
    <col min="14598" max="14598" width="12.85546875" style="26" customWidth="1"/>
    <col min="14599" max="14839" width="11.5703125" style="26"/>
    <col min="14840" max="14840" width="4.5703125" style="26" customWidth="1"/>
    <col min="14841" max="14841" width="29.140625" style="26" customWidth="1"/>
    <col min="14842" max="14842" width="14.140625" style="26" customWidth="1"/>
    <col min="14843" max="14843" width="11.5703125" style="26"/>
    <col min="14844" max="14844" width="10" style="26" customWidth="1"/>
    <col min="14845" max="14845" width="19.85546875" style="26" customWidth="1"/>
    <col min="14846" max="14846" width="12.28515625" style="26" customWidth="1"/>
    <col min="14847" max="14847" width="10" style="26" customWidth="1"/>
    <col min="14848" max="14848" width="10.140625" style="26" customWidth="1"/>
    <col min="14849" max="14849" width="10.28515625" style="26" customWidth="1"/>
    <col min="14850" max="14850" width="10.42578125" style="26" customWidth="1"/>
    <col min="14851" max="14852" width="10.85546875" style="26" customWidth="1"/>
    <col min="14853" max="14853" width="9.7109375" style="26" customWidth="1"/>
    <col min="14854" max="14854" width="12.85546875" style="26" customWidth="1"/>
    <col min="14855" max="15095" width="11.5703125" style="26"/>
    <col min="15096" max="15096" width="4.5703125" style="26" customWidth="1"/>
    <col min="15097" max="15097" width="29.140625" style="26" customWidth="1"/>
    <col min="15098" max="15098" width="14.140625" style="26" customWidth="1"/>
    <col min="15099" max="15099" width="11.5703125" style="26"/>
    <col min="15100" max="15100" width="10" style="26" customWidth="1"/>
    <col min="15101" max="15101" width="19.85546875" style="26" customWidth="1"/>
    <col min="15102" max="15102" width="12.28515625" style="26" customWidth="1"/>
    <col min="15103" max="15103" width="10" style="26" customWidth="1"/>
    <col min="15104" max="15104" width="10.140625" style="26" customWidth="1"/>
    <col min="15105" max="15105" width="10.28515625" style="26" customWidth="1"/>
    <col min="15106" max="15106" width="10.42578125" style="26" customWidth="1"/>
    <col min="15107" max="15108" width="10.85546875" style="26" customWidth="1"/>
    <col min="15109" max="15109" width="9.7109375" style="26" customWidth="1"/>
    <col min="15110" max="15110" width="12.85546875" style="26" customWidth="1"/>
    <col min="15111" max="15351" width="11.5703125" style="26"/>
    <col min="15352" max="15352" width="4.5703125" style="26" customWidth="1"/>
    <col min="15353" max="15353" width="29.140625" style="26" customWidth="1"/>
    <col min="15354" max="15354" width="14.140625" style="26" customWidth="1"/>
    <col min="15355" max="15355" width="11.5703125" style="26"/>
    <col min="15356" max="15356" width="10" style="26" customWidth="1"/>
    <col min="15357" max="15357" width="19.85546875" style="26" customWidth="1"/>
    <col min="15358" max="15358" width="12.28515625" style="26" customWidth="1"/>
    <col min="15359" max="15359" width="10" style="26" customWidth="1"/>
    <col min="15360" max="15360" width="10.140625" style="26" customWidth="1"/>
    <col min="15361" max="15361" width="10.28515625" style="26" customWidth="1"/>
    <col min="15362" max="15362" width="10.42578125" style="26" customWidth="1"/>
    <col min="15363" max="15364" width="10.85546875" style="26" customWidth="1"/>
    <col min="15365" max="15365" width="9.7109375" style="26" customWidth="1"/>
    <col min="15366" max="15366" width="12.85546875" style="26" customWidth="1"/>
    <col min="15367" max="15607" width="11.5703125" style="26"/>
    <col min="15608" max="15608" width="4.5703125" style="26" customWidth="1"/>
    <col min="15609" max="15609" width="29.140625" style="26" customWidth="1"/>
    <col min="15610" max="15610" width="14.140625" style="26" customWidth="1"/>
    <col min="15611" max="15611" width="11.5703125" style="26"/>
    <col min="15612" max="15612" width="10" style="26" customWidth="1"/>
    <col min="15613" max="15613" width="19.85546875" style="26" customWidth="1"/>
    <col min="15614" max="15614" width="12.28515625" style="26" customWidth="1"/>
    <col min="15615" max="15615" width="10" style="26" customWidth="1"/>
    <col min="15616" max="15616" width="10.140625" style="26" customWidth="1"/>
    <col min="15617" max="15617" width="10.28515625" style="26" customWidth="1"/>
    <col min="15618" max="15618" width="10.42578125" style="26" customWidth="1"/>
    <col min="15619" max="15620" width="10.85546875" style="26" customWidth="1"/>
    <col min="15621" max="15621" width="9.7109375" style="26" customWidth="1"/>
    <col min="15622" max="15622" width="12.85546875" style="26" customWidth="1"/>
    <col min="15623" max="15863" width="11.5703125" style="26"/>
    <col min="15864" max="15864" width="4.5703125" style="26" customWidth="1"/>
    <col min="15865" max="15865" width="29.140625" style="26" customWidth="1"/>
    <col min="15866" max="15866" width="14.140625" style="26" customWidth="1"/>
    <col min="15867" max="15867" width="11.5703125" style="26"/>
    <col min="15868" max="15868" width="10" style="26" customWidth="1"/>
    <col min="15869" max="15869" width="19.85546875" style="26" customWidth="1"/>
    <col min="15870" max="15870" width="12.28515625" style="26" customWidth="1"/>
    <col min="15871" max="15871" width="10" style="26" customWidth="1"/>
    <col min="15872" max="15872" width="10.140625" style="26" customWidth="1"/>
    <col min="15873" max="15873" width="10.28515625" style="26" customWidth="1"/>
    <col min="15874" max="15874" width="10.42578125" style="26" customWidth="1"/>
    <col min="15875" max="15876" width="10.85546875" style="26" customWidth="1"/>
    <col min="15877" max="15877" width="9.7109375" style="26" customWidth="1"/>
    <col min="15878" max="15878" width="12.85546875" style="26" customWidth="1"/>
    <col min="15879" max="16119" width="11.5703125" style="26"/>
    <col min="16120" max="16120" width="4.5703125" style="26" customWidth="1"/>
    <col min="16121" max="16121" width="29.140625" style="26" customWidth="1"/>
    <col min="16122" max="16122" width="14.140625" style="26" customWidth="1"/>
    <col min="16123" max="16123" width="11.5703125" style="26"/>
    <col min="16124" max="16124" width="10" style="26" customWidth="1"/>
    <col min="16125" max="16125" width="19.85546875" style="26" customWidth="1"/>
    <col min="16126" max="16126" width="12.28515625" style="26" customWidth="1"/>
    <col min="16127" max="16127" width="10" style="26" customWidth="1"/>
    <col min="16128" max="16128" width="10.140625" style="26" customWidth="1"/>
    <col min="16129" max="16129" width="10.28515625" style="26" customWidth="1"/>
    <col min="16130" max="16130" width="10.42578125" style="26" customWidth="1"/>
    <col min="16131" max="16132" width="10.85546875" style="26" customWidth="1"/>
    <col min="16133" max="16133" width="9.7109375" style="26" customWidth="1"/>
    <col min="16134" max="16134" width="12.85546875" style="26" customWidth="1"/>
    <col min="16135" max="16384" width="11.5703125" style="26"/>
  </cols>
  <sheetData>
    <row r="1" spans="1:35" x14ac:dyDescent="0.25">
      <c r="G1" s="40"/>
      <c r="H1" s="40"/>
      <c r="I1" s="94"/>
      <c r="J1" s="94"/>
      <c r="K1" s="94"/>
      <c r="L1" s="94"/>
    </row>
    <row r="2" spans="1:35" ht="152.25" customHeight="1" x14ac:dyDescent="0.25">
      <c r="G2" s="41"/>
      <c r="H2" s="41"/>
      <c r="I2" s="42"/>
      <c r="J2" s="96" t="s">
        <v>99</v>
      </c>
      <c r="K2" s="96"/>
      <c r="L2" s="96"/>
      <c r="M2" s="96"/>
      <c r="N2" s="96"/>
      <c r="O2" s="96"/>
      <c r="P2" s="96"/>
    </row>
    <row r="3" spans="1:35" ht="12.75" customHeight="1" x14ac:dyDescent="0.25">
      <c r="G3" s="43"/>
      <c r="H3" s="43"/>
      <c r="I3" s="43"/>
      <c r="J3" s="43"/>
      <c r="K3" s="43"/>
      <c r="L3" s="43"/>
    </row>
    <row r="4" spans="1:35" ht="24.75" customHeight="1" x14ac:dyDescent="0.25">
      <c r="A4" s="95" t="s">
        <v>3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</row>
    <row r="5" spans="1:35" ht="48" customHeight="1" x14ac:dyDescent="0.25">
      <c r="A5" s="100" t="s">
        <v>35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</row>
    <row r="6" spans="1:35" s="6" customFormat="1" ht="21" customHeight="1" x14ac:dyDescent="0.25">
      <c r="A6" s="64" t="s">
        <v>0</v>
      </c>
      <c r="B6" s="64" t="s">
        <v>7</v>
      </c>
      <c r="C6" s="64" t="s">
        <v>10</v>
      </c>
      <c r="D6" s="64" t="s">
        <v>11</v>
      </c>
      <c r="E6" s="64" t="s">
        <v>2</v>
      </c>
      <c r="F6" s="64"/>
      <c r="G6" s="64"/>
      <c r="H6" s="64"/>
      <c r="I6" s="97" t="s">
        <v>24</v>
      </c>
      <c r="J6" s="98"/>
      <c r="K6" s="98"/>
      <c r="L6" s="98"/>
      <c r="M6" s="98"/>
      <c r="N6" s="98"/>
      <c r="O6" s="98"/>
      <c r="P6" s="98"/>
      <c r="Q6" s="99"/>
    </row>
    <row r="7" spans="1:35" s="6" customFormat="1" ht="39" customHeight="1" x14ac:dyDescent="0.25">
      <c r="A7" s="64"/>
      <c r="B7" s="64"/>
      <c r="C7" s="64"/>
      <c r="D7" s="64"/>
      <c r="E7" s="59"/>
      <c r="F7" s="59" t="s">
        <v>4</v>
      </c>
      <c r="G7" s="59" t="s">
        <v>5</v>
      </c>
      <c r="H7" s="59" t="s">
        <v>1</v>
      </c>
      <c r="I7" s="59" t="s">
        <v>6</v>
      </c>
      <c r="J7" s="36" t="s">
        <v>15</v>
      </c>
      <c r="K7" s="36" t="s">
        <v>16</v>
      </c>
      <c r="L7" s="59" t="s">
        <v>17</v>
      </c>
      <c r="M7" s="27" t="s">
        <v>37</v>
      </c>
      <c r="N7" s="27" t="s">
        <v>45</v>
      </c>
      <c r="O7" s="27" t="s">
        <v>47</v>
      </c>
      <c r="P7" s="27" t="s">
        <v>48</v>
      </c>
      <c r="Q7" s="27" t="s">
        <v>49</v>
      </c>
      <c r="R7" s="44"/>
      <c r="AB7" s="27" t="s">
        <v>45</v>
      </c>
      <c r="AG7" s="6">
        <v>2021</v>
      </c>
      <c r="AH7" s="6">
        <v>2022</v>
      </c>
      <c r="AI7" s="6">
        <v>2023</v>
      </c>
    </row>
    <row r="8" spans="1:35" s="6" customFormat="1" ht="16.5" customHeight="1" x14ac:dyDescent="0.25">
      <c r="A8" s="59">
        <v>1</v>
      </c>
      <c r="B8" s="59">
        <v>2</v>
      </c>
      <c r="C8" s="59">
        <v>3</v>
      </c>
      <c r="D8" s="59">
        <v>4</v>
      </c>
      <c r="E8" s="59">
        <v>5</v>
      </c>
      <c r="F8" s="59">
        <v>6</v>
      </c>
      <c r="G8" s="59">
        <v>7</v>
      </c>
      <c r="H8" s="59">
        <v>8</v>
      </c>
      <c r="I8" s="59">
        <v>9</v>
      </c>
      <c r="J8" s="59">
        <v>10</v>
      </c>
      <c r="K8" s="59">
        <v>11</v>
      </c>
      <c r="L8" s="59">
        <v>12</v>
      </c>
      <c r="M8" s="27">
        <v>13</v>
      </c>
      <c r="N8" s="29">
        <v>14</v>
      </c>
      <c r="O8" s="27">
        <v>15</v>
      </c>
      <c r="P8" s="27">
        <v>16</v>
      </c>
      <c r="Q8" s="27">
        <v>17</v>
      </c>
      <c r="AB8" s="28">
        <v>14</v>
      </c>
    </row>
    <row r="9" spans="1:35" s="6" customFormat="1" ht="29.25" customHeight="1" x14ac:dyDescent="0.25">
      <c r="A9" s="62">
        <v>1</v>
      </c>
      <c r="B9" s="75" t="s">
        <v>13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7"/>
      <c r="R9" s="6">
        <v>20</v>
      </c>
      <c r="S9" s="6">
        <v>21</v>
      </c>
      <c r="T9" s="6">
        <v>22</v>
      </c>
      <c r="U9" s="6">
        <v>23</v>
      </c>
      <c r="V9" s="6">
        <v>20</v>
      </c>
    </row>
    <row r="10" spans="1:35" s="6" customFormat="1" ht="61.5" customHeight="1" x14ac:dyDescent="0.25">
      <c r="A10" s="64">
        <v>2</v>
      </c>
      <c r="B10" s="65" t="s">
        <v>53</v>
      </c>
      <c r="C10" s="78" t="s">
        <v>94</v>
      </c>
      <c r="D10" s="56" t="s">
        <v>8</v>
      </c>
      <c r="E10" s="56" t="s">
        <v>12</v>
      </c>
      <c r="F10" s="56" t="s">
        <v>12</v>
      </c>
      <c r="G10" s="56" t="s">
        <v>12</v>
      </c>
      <c r="H10" s="56" t="s">
        <v>12</v>
      </c>
      <c r="I10" s="1">
        <f>SUM(J10:Q10)</f>
        <v>4320763161.0100002</v>
      </c>
      <c r="J10" s="1">
        <f t="shared" ref="J10:Q10" si="0">J13+J20+J29+J27+J35+J40</f>
        <v>384505850.44</v>
      </c>
      <c r="K10" s="1">
        <f t="shared" si="0"/>
        <v>439151691.36000001</v>
      </c>
      <c r="L10" s="1">
        <f t="shared" si="0"/>
        <v>478637326.44999999</v>
      </c>
      <c r="M10" s="1">
        <f t="shared" si="0"/>
        <v>551321512.23000002</v>
      </c>
      <c r="N10" s="1">
        <f t="shared" si="0"/>
        <v>878942406.91000009</v>
      </c>
      <c r="O10" s="1">
        <f t="shared" si="0"/>
        <v>488917658.48000002</v>
      </c>
      <c r="P10" s="1">
        <f t="shared" si="0"/>
        <v>549442357.57000005</v>
      </c>
      <c r="Q10" s="1">
        <f t="shared" si="0"/>
        <v>549844357.57000005</v>
      </c>
      <c r="R10" s="5"/>
      <c r="V10" s="5"/>
      <c r="AB10" s="1">
        <f>AB13+AB20+AB29+AB27+AB35+AB40</f>
        <v>889256151.29999995</v>
      </c>
      <c r="AC10" s="5">
        <f>N10-AB10</f>
        <v>-10313744.389999866</v>
      </c>
      <c r="AD10" s="1">
        <f t="shared" ref="AD10:AF10" si="1">AD13+AD20+AD29+AD27+AD35+AD40</f>
        <v>536903237.47000003</v>
      </c>
      <c r="AE10" s="1">
        <f t="shared" si="1"/>
        <v>534103237.46999997</v>
      </c>
      <c r="AF10" s="1">
        <f t="shared" si="1"/>
        <v>16449026.199999999</v>
      </c>
      <c r="AG10" s="5">
        <f>O10-AD10</f>
        <v>-47985578.99000001</v>
      </c>
      <c r="AH10" s="5">
        <f t="shared" ref="AH10:AI10" si="2">P10-AE10</f>
        <v>15339120.100000083</v>
      </c>
      <c r="AI10" s="5">
        <f t="shared" si="2"/>
        <v>533395331.37000006</v>
      </c>
    </row>
    <row r="11" spans="1:35" s="6" customFormat="1" ht="61.5" customHeight="1" x14ac:dyDescent="0.25">
      <c r="A11" s="64"/>
      <c r="B11" s="65"/>
      <c r="C11" s="78"/>
      <c r="D11" s="56" t="s">
        <v>31</v>
      </c>
      <c r="E11" s="56" t="s">
        <v>12</v>
      </c>
      <c r="F11" s="56" t="s">
        <v>12</v>
      </c>
      <c r="G11" s="56" t="s">
        <v>12</v>
      </c>
      <c r="H11" s="56" t="s">
        <v>12</v>
      </c>
      <c r="I11" s="1">
        <f>J11+K11+L11+M11+N11+O11+P11+Q11</f>
        <v>686576692.59000003</v>
      </c>
      <c r="J11" s="1">
        <f>J72</f>
        <v>6205500</v>
      </c>
      <c r="K11" s="1">
        <f>K72+K33</f>
        <v>44705596.890000001</v>
      </c>
      <c r="L11" s="1">
        <f>L72</f>
        <v>8111483.2999999998</v>
      </c>
      <c r="M11" s="1">
        <f>M72+M76+M38</f>
        <v>494801684</v>
      </c>
      <c r="N11" s="1">
        <f>N14+N72+N76+N36+N69</f>
        <v>39020065.890000001</v>
      </c>
      <c r="O11" s="1">
        <f>O18+O72+O76+O38+O69</f>
        <v>33612199.030000001</v>
      </c>
      <c r="P11" s="1">
        <f>P18+P72+P76+P38+P69</f>
        <v>32881958.460000001</v>
      </c>
      <c r="Q11" s="1">
        <f>Q18+Q72+Q76+Q38+Q69</f>
        <v>27238205.02</v>
      </c>
      <c r="R11" s="5"/>
      <c r="S11" s="5">
        <f>O13+O14+O27+O36+O51+O58+O59+O61+O62+O68+O72+O77+O78+O88</f>
        <v>486751813.51000005</v>
      </c>
      <c r="T11" s="5">
        <f>P13+P14+P27+P36+P51+P58+P59+P61+P62+P68+P72+P77+P78+P88</f>
        <v>550820305.02999997</v>
      </c>
      <c r="U11" s="5">
        <f>Q13+Q14+Q27+Q36+Q51+Q58+Q59+Q61+Q62+Q68+Q72+Q77+Q78+Q88</f>
        <v>545176551.58999991</v>
      </c>
      <c r="V11" s="5"/>
      <c r="AB11" s="1">
        <f>AB14+AB72+AB76+AB36+AB69</f>
        <v>39020065.890000001</v>
      </c>
      <c r="AC11" s="5">
        <f t="shared" ref="AC11:AC74" si="3">N11-AB11</f>
        <v>0</v>
      </c>
      <c r="AD11" s="1">
        <f>AD18+AD72+AD76+AD38+AD69</f>
        <v>38529527.240000002</v>
      </c>
      <c r="AE11" s="1">
        <f>AE18+AE72+AE76+AE38+AE69</f>
        <v>38529527.240000002</v>
      </c>
      <c r="AF11" s="1">
        <f>AF18+AF72+AF76+AF38+AF69</f>
        <v>0</v>
      </c>
      <c r="AG11" s="5">
        <f t="shared" ref="AG11:AG74" si="4">O11-AD11</f>
        <v>-4917328.2100000009</v>
      </c>
      <c r="AH11" s="5">
        <f t="shared" ref="AH11:AH74" si="5">P11-AE11</f>
        <v>-5647568.7800000012</v>
      </c>
      <c r="AI11" s="5">
        <f t="shared" ref="AI11:AI74" si="6">Q11-AF11</f>
        <v>27238205.02</v>
      </c>
    </row>
    <row r="12" spans="1:35" s="6" customFormat="1" ht="61.5" customHeight="1" x14ac:dyDescent="0.25">
      <c r="A12" s="64"/>
      <c r="B12" s="65"/>
      <c r="C12" s="78"/>
      <c r="D12" s="56" t="s">
        <v>40</v>
      </c>
      <c r="E12" s="56" t="s">
        <v>12</v>
      </c>
      <c r="F12" s="56" t="s">
        <v>12</v>
      </c>
      <c r="G12" s="56" t="s">
        <v>12</v>
      </c>
      <c r="H12" s="56" t="s">
        <v>12</v>
      </c>
      <c r="I12" s="1">
        <f t="shared" ref="I12:I21" si="7">J12+K12+L12+M12+N12+O12+P12+Q12</f>
        <v>100932002</v>
      </c>
      <c r="J12" s="1">
        <v>0</v>
      </c>
      <c r="K12" s="1">
        <f>K138</f>
        <v>100438120</v>
      </c>
      <c r="L12" s="1">
        <v>0</v>
      </c>
      <c r="M12" s="4">
        <v>0</v>
      </c>
      <c r="N12" s="4">
        <f>N70</f>
        <v>493882</v>
      </c>
      <c r="O12" s="4">
        <v>0</v>
      </c>
      <c r="P12" s="4">
        <v>0</v>
      </c>
      <c r="Q12" s="4">
        <v>0</v>
      </c>
      <c r="R12" s="5"/>
      <c r="S12" s="6">
        <v>499397226.47000003</v>
      </c>
      <c r="T12" s="6">
        <v>499397226.47000003</v>
      </c>
      <c r="V12" s="5"/>
      <c r="AB12" s="4">
        <f>AB70</f>
        <v>493882</v>
      </c>
      <c r="AC12" s="5">
        <f t="shared" si="3"/>
        <v>0</v>
      </c>
      <c r="AD12" s="4">
        <v>0</v>
      </c>
      <c r="AE12" s="4">
        <v>0</v>
      </c>
      <c r="AF12" s="4">
        <v>0</v>
      </c>
      <c r="AG12" s="5">
        <f t="shared" si="4"/>
        <v>0</v>
      </c>
      <c r="AH12" s="5">
        <f t="shared" si="5"/>
        <v>0</v>
      </c>
      <c r="AI12" s="5">
        <f t="shared" si="6"/>
        <v>0</v>
      </c>
    </row>
    <row r="13" spans="1:35" s="6" customFormat="1" ht="39.75" customHeight="1" x14ac:dyDescent="0.25">
      <c r="A13" s="66">
        <v>3</v>
      </c>
      <c r="B13" s="68" t="s">
        <v>54</v>
      </c>
      <c r="C13" s="68" t="s">
        <v>28</v>
      </c>
      <c r="D13" s="56" t="s">
        <v>8</v>
      </c>
      <c r="E13" s="56" t="s">
        <v>12</v>
      </c>
      <c r="F13" s="56" t="s">
        <v>12</v>
      </c>
      <c r="G13" s="56" t="s">
        <v>12</v>
      </c>
      <c r="H13" s="56" t="s">
        <v>12</v>
      </c>
      <c r="I13" s="1">
        <f t="shared" si="7"/>
        <v>119328938.07999998</v>
      </c>
      <c r="J13" s="1">
        <f t="shared" ref="J13:Q13" si="8">J15</f>
        <v>9533300.5500000007</v>
      </c>
      <c r="K13" s="1">
        <f t="shared" si="8"/>
        <v>13147554.710000001</v>
      </c>
      <c r="L13" s="1">
        <f>L15</f>
        <v>12371408.289999999</v>
      </c>
      <c r="M13" s="4">
        <f t="shared" si="8"/>
        <v>15707042.35</v>
      </c>
      <c r="N13" s="4">
        <f t="shared" si="8"/>
        <v>13641133.68</v>
      </c>
      <c r="O13" s="4">
        <f>O15</f>
        <v>17180540.240000002</v>
      </c>
      <c r="P13" s="4">
        <f t="shared" si="8"/>
        <v>18873979.129999999</v>
      </c>
      <c r="Q13" s="4">
        <f t="shared" si="8"/>
        <v>18873979.129999999</v>
      </c>
      <c r="R13" s="5"/>
      <c r="S13" s="5">
        <f>S11-S12</f>
        <v>-12645412.959999979</v>
      </c>
      <c r="T13" s="5">
        <f>T11-T12</f>
        <v>51423078.559999943</v>
      </c>
      <c r="V13" s="5"/>
      <c r="AB13" s="4">
        <f>AB15</f>
        <v>13641133.68</v>
      </c>
      <c r="AC13" s="5">
        <f t="shared" si="3"/>
        <v>0</v>
      </c>
      <c r="AD13" s="4">
        <f>AD15</f>
        <v>18628138.84</v>
      </c>
      <c r="AE13" s="4">
        <f t="shared" ref="AE13:AF13" si="9">AE15</f>
        <v>18628138.84</v>
      </c>
      <c r="AF13" s="4">
        <f t="shared" si="9"/>
        <v>0</v>
      </c>
      <c r="AG13" s="5">
        <f t="shared" si="4"/>
        <v>-1447598.5999999978</v>
      </c>
      <c r="AH13" s="5">
        <f t="shared" si="5"/>
        <v>245840.28999999911</v>
      </c>
      <c r="AI13" s="5">
        <f t="shared" si="6"/>
        <v>18873979.129999999</v>
      </c>
    </row>
    <row r="14" spans="1:35" s="6" customFormat="1" ht="35.25" customHeight="1" x14ac:dyDescent="0.25">
      <c r="A14" s="67"/>
      <c r="B14" s="69"/>
      <c r="C14" s="69"/>
      <c r="D14" s="56" t="s">
        <v>31</v>
      </c>
      <c r="E14" s="56" t="s">
        <v>12</v>
      </c>
      <c r="F14" s="56" t="s">
        <v>12</v>
      </c>
      <c r="G14" s="56" t="s">
        <v>12</v>
      </c>
      <c r="H14" s="56" t="s">
        <v>12</v>
      </c>
      <c r="I14" s="1">
        <f>J14+K14+L14+M14+N14+O14+P14+Q14</f>
        <v>1060000</v>
      </c>
      <c r="J14" s="1">
        <v>0</v>
      </c>
      <c r="K14" s="1">
        <v>0</v>
      </c>
      <c r="L14" s="1">
        <v>0</v>
      </c>
      <c r="M14" s="4">
        <v>0</v>
      </c>
      <c r="N14" s="4">
        <f>N18</f>
        <v>400000</v>
      </c>
      <c r="O14" s="4">
        <f>O18</f>
        <v>330000</v>
      </c>
      <c r="P14" s="4">
        <f>P18</f>
        <v>330000</v>
      </c>
      <c r="Q14" s="4">
        <f>Q18</f>
        <v>0</v>
      </c>
      <c r="R14" s="5"/>
      <c r="S14" s="5">
        <f>S11-O10</f>
        <v>-2165844.969999969</v>
      </c>
      <c r="T14" s="5">
        <f>T11-P10</f>
        <v>1377947.4599999189</v>
      </c>
      <c r="AB14" s="4">
        <f>AB18</f>
        <v>400000</v>
      </c>
      <c r="AC14" s="5">
        <f t="shared" si="3"/>
        <v>0</v>
      </c>
      <c r="AD14" s="4">
        <f t="shared" ref="AD14:AE14" si="10">AD18</f>
        <v>0</v>
      </c>
      <c r="AE14" s="4">
        <f t="shared" si="10"/>
        <v>0</v>
      </c>
      <c r="AF14" s="4">
        <f>AF18</f>
        <v>0</v>
      </c>
      <c r="AG14" s="5">
        <f t="shared" si="4"/>
        <v>330000</v>
      </c>
      <c r="AH14" s="5">
        <f t="shared" si="5"/>
        <v>330000</v>
      </c>
      <c r="AI14" s="5">
        <f t="shared" si="6"/>
        <v>0</v>
      </c>
    </row>
    <row r="15" spans="1:35" s="6" customFormat="1" ht="33.75" customHeight="1" x14ac:dyDescent="0.25">
      <c r="A15" s="66">
        <v>4</v>
      </c>
      <c r="B15" s="68" t="s">
        <v>55</v>
      </c>
      <c r="C15" s="68" t="s">
        <v>26</v>
      </c>
      <c r="D15" s="56" t="s">
        <v>8</v>
      </c>
      <c r="E15" s="56" t="s">
        <v>12</v>
      </c>
      <c r="F15" s="56" t="s">
        <v>12</v>
      </c>
      <c r="G15" s="56" t="s">
        <v>12</v>
      </c>
      <c r="H15" s="56" t="s">
        <v>12</v>
      </c>
      <c r="I15" s="1">
        <f>J15+K15+L15+M15+N15+O15+P15+Q15</f>
        <v>119328938.07999998</v>
      </c>
      <c r="J15" s="1">
        <f t="shared" ref="J15:Q15" si="11">J17+J19</f>
        <v>9533300.5500000007</v>
      </c>
      <c r="K15" s="7">
        <f t="shared" si="11"/>
        <v>13147554.710000001</v>
      </c>
      <c r="L15" s="7">
        <f t="shared" si="11"/>
        <v>12371408.289999999</v>
      </c>
      <c r="M15" s="4">
        <f t="shared" si="11"/>
        <v>15707042.35</v>
      </c>
      <c r="N15" s="4">
        <f t="shared" si="11"/>
        <v>13641133.68</v>
      </c>
      <c r="O15" s="4">
        <f t="shared" si="11"/>
        <v>17180540.240000002</v>
      </c>
      <c r="P15" s="4">
        <f t="shared" si="11"/>
        <v>18873979.129999999</v>
      </c>
      <c r="Q15" s="4">
        <f t="shared" si="11"/>
        <v>18873979.129999999</v>
      </c>
      <c r="R15" s="5"/>
      <c r="S15" s="5">
        <f>S11</f>
        <v>486751813.51000005</v>
      </c>
      <c r="T15" s="5">
        <f>T11</f>
        <v>550820305.02999997</v>
      </c>
      <c r="AB15" s="4">
        <v>13641133.68</v>
      </c>
      <c r="AC15" s="5">
        <f t="shared" si="3"/>
        <v>0</v>
      </c>
      <c r="AD15" s="4">
        <f t="shared" ref="AD15:AF15" si="12">AD17+AD19</f>
        <v>18628138.84</v>
      </c>
      <c r="AE15" s="4">
        <f t="shared" si="12"/>
        <v>18628138.84</v>
      </c>
      <c r="AF15" s="4">
        <f t="shared" si="12"/>
        <v>0</v>
      </c>
      <c r="AG15" s="5">
        <f t="shared" si="4"/>
        <v>-1447598.5999999978</v>
      </c>
      <c r="AH15" s="5">
        <f t="shared" si="5"/>
        <v>245840.28999999911</v>
      </c>
      <c r="AI15" s="5">
        <f t="shared" si="6"/>
        <v>18873979.129999999</v>
      </c>
    </row>
    <row r="16" spans="1:35" s="6" customFormat="1" ht="36" customHeight="1" x14ac:dyDescent="0.25">
      <c r="A16" s="67"/>
      <c r="B16" s="69"/>
      <c r="C16" s="69"/>
      <c r="D16" s="56" t="s">
        <v>31</v>
      </c>
      <c r="E16" s="56" t="s">
        <v>12</v>
      </c>
      <c r="F16" s="56" t="s">
        <v>12</v>
      </c>
      <c r="G16" s="56" t="s">
        <v>12</v>
      </c>
      <c r="H16" s="56" t="s">
        <v>12</v>
      </c>
      <c r="I16" s="1">
        <f>J16+K16+L16+M16+N16+O16+P16+Q16</f>
        <v>1060000</v>
      </c>
      <c r="J16" s="1">
        <v>0</v>
      </c>
      <c r="K16" s="7">
        <v>0</v>
      </c>
      <c r="L16" s="1">
        <v>0</v>
      </c>
      <c r="M16" s="4">
        <v>0</v>
      </c>
      <c r="N16" s="4">
        <f>N18</f>
        <v>400000</v>
      </c>
      <c r="O16" s="4">
        <f>O18</f>
        <v>330000</v>
      </c>
      <c r="P16" s="4">
        <f>P18</f>
        <v>330000</v>
      </c>
      <c r="Q16" s="4">
        <v>0</v>
      </c>
      <c r="R16" s="5"/>
      <c r="S16" s="5">
        <v>2126569</v>
      </c>
      <c r="T16" s="5">
        <v>400000</v>
      </c>
      <c r="U16" s="5"/>
      <c r="AB16" s="4">
        <f>AB18</f>
        <v>400000</v>
      </c>
      <c r="AC16" s="5">
        <f t="shared" si="3"/>
        <v>0</v>
      </c>
      <c r="AD16" s="4">
        <f>AD18</f>
        <v>0</v>
      </c>
      <c r="AE16" s="4">
        <f>AE18</f>
        <v>0</v>
      </c>
      <c r="AF16" s="4">
        <v>0</v>
      </c>
      <c r="AG16" s="5">
        <f t="shared" si="4"/>
        <v>330000</v>
      </c>
      <c r="AH16" s="5">
        <f t="shared" si="5"/>
        <v>330000</v>
      </c>
      <c r="AI16" s="5">
        <f t="shared" si="6"/>
        <v>0</v>
      </c>
    </row>
    <row r="17" spans="1:35" s="6" customFormat="1" ht="49.5" customHeight="1" x14ac:dyDescent="0.25">
      <c r="A17" s="66">
        <v>5</v>
      </c>
      <c r="B17" s="68" t="s">
        <v>56</v>
      </c>
      <c r="C17" s="68" t="s">
        <v>26</v>
      </c>
      <c r="D17" s="56" t="s">
        <v>8</v>
      </c>
      <c r="E17" s="56" t="s">
        <v>12</v>
      </c>
      <c r="F17" s="56" t="s">
        <v>12</v>
      </c>
      <c r="G17" s="56" t="s">
        <v>12</v>
      </c>
      <c r="H17" s="56" t="s">
        <v>12</v>
      </c>
      <c r="I17" s="1">
        <f t="shared" si="7"/>
        <v>110299225.88</v>
      </c>
      <c r="J17" s="1">
        <f>5906497.55+597090.8</f>
        <v>6503588.3499999996</v>
      </c>
      <c r="K17" s="1">
        <f>6164146+2000000+6900000-777174.7-1139416.59</f>
        <v>13147554.710000001</v>
      </c>
      <c r="L17" s="1">
        <f>12234868.61+136539.68</f>
        <v>12371408.289999999</v>
      </c>
      <c r="M17" s="4">
        <v>15707042.35</v>
      </c>
      <c r="N17" s="4">
        <v>13641133.68</v>
      </c>
      <c r="O17" s="4">
        <v>15180540.24</v>
      </c>
      <c r="P17" s="4">
        <v>16873979.129999999</v>
      </c>
      <c r="Q17" s="4">
        <v>16873979.129999999</v>
      </c>
      <c r="R17" s="5"/>
      <c r="S17" s="5">
        <f>O17+O18+O19+O27+O30+O36+O47+O51+O59+O58+O68+O69+O77+O78+O88</f>
        <v>486751813.51000005</v>
      </c>
      <c r="T17" s="5">
        <f>P17+P18+P19+P27+P30+P36+P47+P51+P59+P58+P68+P69+P77+P78+P88</f>
        <v>550820305.02999997</v>
      </c>
      <c r="U17" s="5">
        <f>Q17+Q18+Q19+Q27+Q30+Q36+Q47+Q51+Q59+Q58+Q68+Q69+Q77+Q78+Q88</f>
        <v>545176551.59000003</v>
      </c>
      <c r="V17" s="6" t="s">
        <v>116</v>
      </c>
      <c r="AB17" s="4">
        <v>13641133.68</v>
      </c>
      <c r="AC17" s="5">
        <f t="shared" si="3"/>
        <v>0</v>
      </c>
      <c r="AD17" s="4">
        <v>16628138.84</v>
      </c>
      <c r="AE17" s="4">
        <v>16628138.84</v>
      </c>
      <c r="AF17" s="4"/>
      <c r="AG17" s="5">
        <f t="shared" si="4"/>
        <v>-1447598.5999999996</v>
      </c>
      <c r="AH17" s="5">
        <f t="shared" si="5"/>
        <v>245840.28999999911</v>
      </c>
      <c r="AI17" s="5">
        <f t="shared" si="6"/>
        <v>16873979.129999999</v>
      </c>
    </row>
    <row r="18" spans="1:35" s="6" customFormat="1" ht="51.75" customHeight="1" x14ac:dyDescent="0.25">
      <c r="A18" s="67"/>
      <c r="B18" s="69"/>
      <c r="C18" s="69"/>
      <c r="D18" s="56" t="s">
        <v>31</v>
      </c>
      <c r="E18" s="56" t="s">
        <v>12</v>
      </c>
      <c r="F18" s="56" t="s">
        <v>12</v>
      </c>
      <c r="G18" s="56" t="s">
        <v>12</v>
      </c>
      <c r="H18" s="56" t="s">
        <v>12</v>
      </c>
      <c r="I18" s="1">
        <f t="shared" si="7"/>
        <v>1060000</v>
      </c>
      <c r="J18" s="1">
        <v>0</v>
      </c>
      <c r="K18" s="1">
        <v>0</v>
      </c>
      <c r="L18" s="1">
        <v>0</v>
      </c>
      <c r="M18" s="4">
        <v>0</v>
      </c>
      <c r="N18" s="4">
        <v>400000</v>
      </c>
      <c r="O18" s="4">
        <v>330000</v>
      </c>
      <c r="P18" s="4">
        <v>330000</v>
      </c>
      <c r="Q18" s="4">
        <v>0</v>
      </c>
      <c r="R18" s="5"/>
      <c r="S18" s="5">
        <f>S17-O30</f>
        <v>453469614.48000002</v>
      </c>
      <c r="T18" s="5">
        <f>T17-P30</f>
        <v>518268346.56999999</v>
      </c>
      <c r="U18" s="5">
        <f>U17-Q30</f>
        <v>517938346.57000005</v>
      </c>
      <c r="V18" s="6" t="s">
        <v>117</v>
      </c>
      <c r="AB18" s="4">
        <v>400000</v>
      </c>
      <c r="AC18" s="5">
        <f t="shared" si="3"/>
        <v>0</v>
      </c>
      <c r="AD18" s="4">
        <v>0</v>
      </c>
      <c r="AE18" s="4">
        <v>0</v>
      </c>
      <c r="AF18" s="4">
        <v>0</v>
      </c>
      <c r="AG18" s="5">
        <f t="shared" si="4"/>
        <v>330000</v>
      </c>
      <c r="AH18" s="5">
        <f t="shared" si="5"/>
        <v>330000</v>
      </c>
      <c r="AI18" s="5">
        <f t="shared" si="6"/>
        <v>0</v>
      </c>
    </row>
    <row r="19" spans="1:35" s="6" customFormat="1" ht="57" customHeight="1" x14ac:dyDescent="0.25">
      <c r="A19" s="59">
        <v>6</v>
      </c>
      <c r="B19" s="57" t="s">
        <v>57</v>
      </c>
      <c r="C19" s="56" t="s">
        <v>26</v>
      </c>
      <c r="D19" s="56" t="s">
        <v>8</v>
      </c>
      <c r="E19" s="56" t="s">
        <v>12</v>
      </c>
      <c r="F19" s="56" t="s">
        <v>12</v>
      </c>
      <c r="G19" s="56" t="s">
        <v>12</v>
      </c>
      <c r="H19" s="56" t="s">
        <v>12</v>
      </c>
      <c r="I19" s="1">
        <f t="shared" si="7"/>
        <v>9029712.1999999993</v>
      </c>
      <c r="J19" s="1">
        <f>5208012.5-3240-607951.82-1549472.18-17636.3</f>
        <v>3029712.2</v>
      </c>
      <c r="K19" s="1">
        <v>0</v>
      </c>
      <c r="L19" s="1">
        <v>0</v>
      </c>
      <c r="M19" s="4">
        <f>2000000-2000000</f>
        <v>0</v>
      </c>
      <c r="N19" s="4">
        <v>0</v>
      </c>
      <c r="O19" s="4">
        <v>2000000</v>
      </c>
      <c r="P19" s="4">
        <v>2000000</v>
      </c>
      <c r="Q19" s="4">
        <v>2000000</v>
      </c>
      <c r="R19" s="5"/>
      <c r="S19" s="5">
        <f>O21+O52+O64+O65+O66+O67+O84+O85+O86+O87+O89+O94</f>
        <v>35778044</v>
      </c>
      <c r="T19" s="5">
        <f>P21+P52+P64+P65+P66+P67+P84+P85+P86+P87+P89+P94</f>
        <v>31504011</v>
      </c>
      <c r="V19" s="5"/>
      <c r="AB19" s="4">
        <v>0</v>
      </c>
      <c r="AC19" s="5">
        <f t="shared" si="3"/>
        <v>0</v>
      </c>
      <c r="AD19" s="4">
        <v>2000000</v>
      </c>
      <c r="AE19" s="4">
        <v>2000000</v>
      </c>
      <c r="AF19" s="4"/>
      <c r="AG19" s="5">
        <f t="shared" si="4"/>
        <v>0</v>
      </c>
      <c r="AH19" s="5">
        <f t="shared" si="5"/>
        <v>0</v>
      </c>
      <c r="AI19" s="5">
        <f t="shared" si="6"/>
        <v>2000000</v>
      </c>
    </row>
    <row r="20" spans="1:35" s="6" customFormat="1" ht="57" customHeight="1" x14ac:dyDescent="0.25">
      <c r="A20" s="59">
        <v>7</v>
      </c>
      <c r="B20" s="57" t="s">
        <v>58</v>
      </c>
      <c r="C20" s="56" t="s">
        <v>30</v>
      </c>
      <c r="D20" s="56" t="s">
        <v>8</v>
      </c>
      <c r="E20" s="56" t="s">
        <v>12</v>
      </c>
      <c r="F20" s="56" t="s">
        <v>12</v>
      </c>
      <c r="G20" s="56" t="s">
        <v>12</v>
      </c>
      <c r="H20" s="56" t="s">
        <v>12</v>
      </c>
      <c r="I20" s="1">
        <f t="shared" si="7"/>
        <v>21282967.84</v>
      </c>
      <c r="J20" s="1">
        <f t="shared" ref="J20:Q20" si="13">J21</f>
        <v>2083420.5500000003</v>
      </c>
      <c r="K20" s="1">
        <f t="shared" si="13"/>
        <v>1607599.44</v>
      </c>
      <c r="L20" s="1">
        <f t="shared" si="13"/>
        <v>2916359.91</v>
      </c>
      <c r="M20" s="4">
        <f t="shared" si="13"/>
        <v>2969561.09</v>
      </c>
      <c r="N20" s="4">
        <f>N21</f>
        <v>1826028.85</v>
      </c>
      <c r="O20" s="4">
        <f>O21</f>
        <v>3226666</v>
      </c>
      <c r="P20" s="4">
        <f t="shared" si="13"/>
        <v>3326666</v>
      </c>
      <c r="Q20" s="4">
        <f t="shared" si="13"/>
        <v>3326666</v>
      </c>
      <c r="R20" s="5"/>
      <c r="AB20" s="4">
        <f>AB21</f>
        <v>2712366</v>
      </c>
      <c r="AC20" s="5">
        <f t="shared" si="3"/>
        <v>-886337.14999999991</v>
      </c>
      <c r="AD20" s="4">
        <f>AD21</f>
        <v>3326666</v>
      </c>
      <c r="AE20" s="4">
        <f t="shared" ref="AE20" si="14">AE21</f>
        <v>3326666</v>
      </c>
      <c r="AF20" s="4"/>
      <c r="AG20" s="5">
        <f t="shared" si="4"/>
        <v>-100000</v>
      </c>
      <c r="AH20" s="5">
        <f t="shared" si="5"/>
        <v>0</v>
      </c>
      <c r="AI20" s="5">
        <f t="shared" si="6"/>
        <v>3326666</v>
      </c>
    </row>
    <row r="21" spans="1:35" s="6" customFormat="1" ht="52.5" customHeight="1" x14ac:dyDescent="0.25">
      <c r="A21" s="59">
        <v>8</v>
      </c>
      <c r="B21" s="57" t="s">
        <v>59</v>
      </c>
      <c r="C21" s="56" t="s">
        <v>30</v>
      </c>
      <c r="D21" s="56" t="s">
        <v>8</v>
      </c>
      <c r="E21" s="56" t="s">
        <v>12</v>
      </c>
      <c r="F21" s="56" t="s">
        <v>12</v>
      </c>
      <c r="G21" s="56" t="s">
        <v>12</v>
      </c>
      <c r="H21" s="56" t="s">
        <v>12</v>
      </c>
      <c r="I21" s="1">
        <f t="shared" si="7"/>
        <v>21282967.84</v>
      </c>
      <c r="J21" s="4">
        <f t="shared" ref="J21:Q21" si="15">J23+J24+J25+J26</f>
        <v>2083420.5500000003</v>
      </c>
      <c r="K21" s="4">
        <f t="shared" si="15"/>
        <v>1607599.44</v>
      </c>
      <c r="L21" s="4">
        <f t="shared" si="15"/>
        <v>2916359.91</v>
      </c>
      <c r="M21" s="4">
        <f t="shared" si="15"/>
        <v>2969561.09</v>
      </c>
      <c r="N21" s="4">
        <f t="shared" si="15"/>
        <v>1826028.85</v>
      </c>
      <c r="O21" s="4">
        <f t="shared" si="15"/>
        <v>3226666</v>
      </c>
      <c r="P21" s="4">
        <f t="shared" si="15"/>
        <v>3326666</v>
      </c>
      <c r="Q21" s="4">
        <f t="shared" si="15"/>
        <v>3326666</v>
      </c>
      <c r="R21" s="5"/>
      <c r="AB21" s="4">
        <f>AB23+AB24+AB25+AB26</f>
        <v>2712366</v>
      </c>
      <c r="AC21" s="5">
        <f t="shared" si="3"/>
        <v>-886337.14999999991</v>
      </c>
      <c r="AD21" s="4">
        <f t="shared" ref="AD21:AE21" si="16">AD23+AD24+AD25+AD26</f>
        <v>3326666</v>
      </c>
      <c r="AE21" s="4">
        <f t="shared" si="16"/>
        <v>3326666</v>
      </c>
      <c r="AF21" s="4"/>
      <c r="AG21" s="5">
        <f t="shared" si="4"/>
        <v>-100000</v>
      </c>
      <c r="AH21" s="5">
        <f t="shared" si="5"/>
        <v>0</v>
      </c>
      <c r="AI21" s="5">
        <f t="shared" si="6"/>
        <v>3326666</v>
      </c>
    </row>
    <row r="22" spans="1:35" s="6" customFormat="1" ht="21" customHeight="1" x14ac:dyDescent="0.25">
      <c r="A22" s="64">
        <v>9</v>
      </c>
      <c r="B22" s="78" t="s">
        <v>77</v>
      </c>
      <c r="C22" s="56" t="s">
        <v>25</v>
      </c>
      <c r="D22" s="72"/>
      <c r="E22" s="73"/>
      <c r="F22" s="73"/>
      <c r="G22" s="73"/>
      <c r="H22" s="73"/>
      <c r="I22" s="73"/>
      <c r="J22" s="73"/>
      <c r="K22" s="73"/>
      <c r="L22" s="74"/>
      <c r="M22" s="8"/>
      <c r="N22" s="9"/>
      <c r="O22" s="4"/>
      <c r="P22" s="4"/>
      <c r="Q22" s="4"/>
      <c r="R22" s="53">
        <v>20</v>
      </c>
      <c r="S22" s="53">
        <v>21</v>
      </c>
      <c r="T22" s="53">
        <v>22</v>
      </c>
      <c r="U22" s="53">
        <v>23</v>
      </c>
      <c r="AB22" s="9"/>
      <c r="AC22" s="5">
        <f t="shared" si="3"/>
        <v>0</v>
      </c>
      <c r="AD22" s="4"/>
      <c r="AE22" s="4"/>
      <c r="AF22" s="4"/>
      <c r="AG22" s="5">
        <f t="shared" si="4"/>
        <v>0</v>
      </c>
      <c r="AH22" s="5">
        <f t="shared" si="5"/>
        <v>0</v>
      </c>
      <c r="AI22" s="5">
        <f t="shared" si="6"/>
        <v>0</v>
      </c>
    </row>
    <row r="23" spans="1:35" s="6" customFormat="1" ht="43.5" customHeight="1" x14ac:dyDescent="0.25">
      <c r="A23" s="64"/>
      <c r="B23" s="78"/>
      <c r="C23" s="56" t="s">
        <v>22</v>
      </c>
      <c r="D23" s="56" t="s">
        <v>8</v>
      </c>
      <c r="E23" s="56" t="s">
        <v>12</v>
      </c>
      <c r="F23" s="56" t="s">
        <v>12</v>
      </c>
      <c r="G23" s="56" t="s">
        <v>12</v>
      </c>
      <c r="H23" s="56" t="s">
        <v>12</v>
      </c>
      <c r="I23" s="1">
        <f>J23+K23+L23+M23+N23+O23+P23+Q23</f>
        <v>7270100.0800000001</v>
      </c>
      <c r="J23" s="1">
        <v>872845.87</v>
      </c>
      <c r="K23" s="2">
        <f>700652-4632.91</f>
        <v>696019.09</v>
      </c>
      <c r="L23" s="2">
        <v>955083.45</v>
      </c>
      <c r="M23" s="2">
        <f>1034559-2401.78</f>
        <v>1032157.22</v>
      </c>
      <c r="N23" s="4">
        <v>610317.44999999995</v>
      </c>
      <c r="O23" s="4">
        <v>1034559</v>
      </c>
      <c r="P23" s="4">
        <v>1034559</v>
      </c>
      <c r="Q23" s="4">
        <v>1034559</v>
      </c>
      <c r="R23" s="5">
        <f>N23+N55+N64+N84+N92+N98</f>
        <v>3826736.4099999997</v>
      </c>
      <c r="S23" s="5">
        <f>O23+O55+O64+O84+O92+O98</f>
        <v>11408964</v>
      </c>
      <c r="T23" s="5">
        <f>P23+P55+P64+P84+P92+P98</f>
        <v>5406964</v>
      </c>
      <c r="U23" s="5">
        <f>Q23+Q55+Q64+Q84+Q92+Q98</f>
        <v>5808964</v>
      </c>
      <c r="V23" s="6" t="s">
        <v>115</v>
      </c>
      <c r="AB23" s="4">
        <v>1034559</v>
      </c>
      <c r="AC23" s="5">
        <f t="shared" si="3"/>
        <v>-424241.55000000005</v>
      </c>
      <c r="AD23" s="4">
        <v>1034559</v>
      </c>
      <c r="AE23" s="4">
        <v>1034559</v>
      </c>
      <c r="AF23" s="4"/>
      <c r="AG23" s="5">
        <f t="shared" si="4"/>
        <v>0</v>
      </c>
      <c r="AH23" s="5">
        <f t="shared" si="5"/>
        <v>0</v>
      </c>
      <c r="AI23" s="5">
        <f t="shared" si="6"/>
        <v>1034559</v>
      </c>
    </row>
    <row r="24" spans="1:35" s="6" customFormat="1" ht="43.5" customHeight="1" x14ac:dyDescent="0.25">
      <c r="A24" s="64"/>
      <c r="B24" s="78"/>
      <c r="C24" s="56" t="s">
        <v>20</v>
      </c>
      <c r="D24" s="56" t="s">
        <v>8</v>
      </c>
      <c r="E24" s="56" t="s">
        <v>12</v>
      </c>
      <c r="F24" s="56" t="s">
        <v>12</v>
      </c>
      <c r="G24" s="56" t="s">
        <v>12</v>
      </c>
      <c r="H24" s="56" t="s">
        <v>12</v>
      </c>
      <c r="I24" s="1">
        <f t="shared" ref="I24:I41" si="17">J24+K24+L24+M24+N24+O24+P24+Q24</f>
        <v>6776079.4399999995</v>
      </c>
      <c r="J24" s="1">
        <v>600000</v>
      </c>
      <c r="K24" s="10">
        <f>500000</f>
        <v>500000</v>
      </c>
      <c r="L24" s="2">
        <v>902798.25</v>
      </c>
      <c r="M24" s="2">
        <f>1025895.05-65851.51</f>
        <v>960043.54</v>
      </c>
      <c r="N24" s="2">
        <f>615700-2462.35</f>
        <v>613237.65</v>
      </c>
      <c r="O24" s="4">
        <v>1000000</v>
      </c>
      <c r="P24" s="4">
        <v>1100000</v>
      </c>
      <c r="Q24" s="4">
        <v>1100000</v>
      </c>
      <c r="R24" s="5">
        <f>N24+N56+N65+N85+N90+N101</f>
        <v>6260083.2999999998</v>
      </c>
      <c r="S24" s="5">
        <f>O24+O56+O65+O85+O90+O101</f>
        <v>8774106</v>
      </c>
      <c r="T24" s="5">
        <f>P24+P56+P65+P85+P90+P101</f>
        <v>10502073</v>
      </c>
      <c r="U24" s="5">
        <f>Q24+Q56+Q65+Q85+Q90+Q101</f>
        <v>10502073</v>
      </c>
      <c r="V24" s="6" t="s">
        <v>115</v>
      </c>
      <c r="AB24" s="2">
        <v>615700</v>
      </c>
      <c r="AC24" s="5">
        <f t="shared" si="3"/>
        <v>-2462.3499999999767</v>
      </c>
      <c r="AD24" s="4">
        <v>1100000</v>
      </c>
      <c r="AE24" s="4">
        <v>1100000</v>
      </c>
      <c r="AF24" s="4"/>
      <c r="AG24" s="5">
        <f t="shared" si="4"/>
        <v>-100000</v>
      </c>
      <c r="AH24" s="5">
        <f t="shared" si="5"/>
        <v>0</v>
      </c>
      <c r="AI24" s="5">
        <f t="shared" si="6"/>
        <v>1100000</v>
      </c>
    </row>
    <row r="25" spans="1:35" s="6" customFormat="1" ht="43.5" customHeight="1" x14ac:dyDescent="0.25">
      <c r="A25" s="64"/>
      <c r="B25" s="78"/>
      <c r="C25" s="56" t="s">
        <v>21</v>
      </c>
      <c r="D25" s="56" t="s">
        <v>8</v>
      </c>
      <c r="E25" s="56" t="s">
        <v>12</v>
      </c>
      <c r="F25" s="56" t="s">
        <v>12</v>
      </c>
      <c r="G25" s="56" t="s">
        <v>12</v>
      </c>
      <c r="H25" s="56" t="s">
        <v>12</v>
      </c>
      <c r="I25" s="1">
        <f t="shared" si="17"/>
        <v>5219356.66</v>
      </c>
      <c r="J25" s="1">
        <v>328022.57</v>
      </c>
      <c r="K25" s="2">
        <f>359536-82901-0.65</f>
        <v>276634.34999999998</v>
      </c>
      <c r="L25" s="2">
        <f>359536+600000-165114.74</f>
        <v>794421.26</v>
      </c>
      <c r="M25" s="3">
        <f>789107-15573.9</f>
        <v>773533.1</v>
      </c>
      <c r="N25" s="3">
        <v>379424.38</v>
      </c>
      <c r="O25" s="3">
        <v>889107</v>
      </c>
      <c r="P25" s="4">
        <v>889107</v>
      </c>
      <c r="Q25" s="4">
        <v>889107</v>
      </c>
      <c r="R25" s="5">
        <f>N25+N66+N57+N86+N97+N91</f>
        <v>4942184.01</v>
      </c>
      <c r="S25" s="5">
        <f>O25+O66+O57+O86+O97+O91</f>
        <v>8473894</v>
      </c>
      <c r="T25" s="5">
        <f>P25+P66+P57+P86+P97+P91</f>
        <v>8473894</v>
      </c>
      <c r="U25" s="5">
        <f>Q25+Q66+Q57+Q86+Q97+Q91</f>
        <v>8473894</v>
      </c>
      <c r="V25" s="6" t="s">
        <v>115</v>
      </c>
      <c r="AB25" s="3">
        <v>829107</v>
      </c>
      <c r="AC25" s="5">
        <f t="shared" si="3"/>
        <v>-449682.62</v>
      </c>
      <c r="AD25" s="3">
        <v>889107</v>
      </c>
      <c r="AE25" s="4">
        <v>889107</v>
      </c>
      <c r="AF25" s="4"/>
      <c r="AG25" s="5">
        <f t="shared" si="4"/>
        <v>0</v>
      </c>
      <c r="AH25" s="5">
        <f t="shared" si="5"/>
        <v>0</v>
      </c>
      <c r="AI25" s="5">
        <f t="shared" si="6"/>
        <v>889107</v>
      </c>
    </row>
    <row r="26" spans="1:35" s="6" customFormat="1" ht="43.5" customHeight="1" x14ac:dyDescent="0.25">
      <c r="A26" s="64"/>
      <c r="B26" s="78"/>
      <c r="C26" s="56" t="s">
        <v>18</v>
      </c>
      <c r="D26" s="56" t="s">
        <v>8</v>
      </c>
      <c r="E26" s="56" t="s">
        <v>12</v>
      </c>
      <c r="F26" s="56" t="s">
        <v>12</v>
      </c>
      <c r="G26" s="56" t="s">
        <v>12</v>
      </c>
      <c r="H26" s="56" t="s">
        <v>12</v>
      </c>
      <c r="I26" s="1">
        <f t="shared" si="17"/>
        <v>2017431.6600000001</v>
      </c>
      <c r="J26" s="1">
        <v>282552.11</v>
      </c>
      <c r="K26" s="10">
        <f>303000-168054</f>
        <v>134946</v>
      </c>
      <c r="L26" s="2">
        <v>264056.95</v>
      </c>
      <c r="M26" s="3">
        <f>334250-130422.77</f>
        <v>203827.22999999998</v>
      </c>
      <c r="N26" s="4">
        <v>223049.37</v>
      </c>
      <c r="O26" s="4">
        <v>303000</v>
      </c>
      <c r="P26" s="4">
        <v>303000</v>
      </c>
      <c r="Q26" s="4">
        <v>303000</v>
      </c>
      <c r="R26" s="5">
        <f>N26+N54+N67+N87+N93+N96</f>
        <v>4594529.13</v>
      </c>
      <c r="S26" s="5">
        <f>O26+O54+O67+O87+O93+O96</f>
        <v>7121080</v>
      </c>
      <c r="T26" s="5">
        <f>P26+P54+P67+P87+P93+P96</f>
        <v>7121080</v>
      </c>
      <c r="U26" s="5">
        <f>Q26+Q54+Q67+Q87+Q93+Q96</f>
        <v>7121080</v>
      </c>
      <c r="V26" s="6" t="s">
        <v>115</v>
      </c>
      <c r="AB26" s="4">
        <v>233000</v>
      </c>
      <c r="AC26" s="5">
        <f>N26-AB26</f>
        <v>-9950.6300000000047</v>
      </c>
      <c r="AD26" s="4">
        <v>303000</v>
      </c>
      <c r="AE26" s="4">
        <v>303000</v>
      </c>
      <c r="AF26" s="4"/>
      <c r="AG26" s="5">
        <f t="shared" si="4"/>
        <v>0</v>
      </c>
      <c r="AH26" s="5">
        <f t="shared" si="5"/>
        <v>0</v>
      </c>
      <c r="AI26" s="5">
        <f t="shared" si="6"/>
        <v>303000</v>
      </c>
    </row>
    <row r="27" spans="1:35" s="6" customFormat="1" ht="66.75" customHeight="1" x14ac:dyDescent="0.25">
      <c r="A27" s="59">
        <v>10</v>
      </c>
      <c r="B27" s="56" t="s">
        <v>60</v>
      </c>
      <c r="C27" s="56" t="s">
        <v>114</v>
      </c>
      <c r="D27" s="56" t="s">
        <v>8</v>
      </c>
      <c r="E27" s="56" t="s">
        <v>12</v>
      </c>
      <c r="F27" s="56" t="s">
        <v>12</v>
      </c>
      <c r="G27" s="56" t="s">
        <v>12</v>
      </c>
      <c r="H27" s="56" t="s">
        <v>12</v>
      </c>
      <c r="I27" s="1">
        <f t="shared" si="17"/>
        <v>109055037.08000001</v>
      </c>
      <c r="J27" s="1">
        <v>0</v>
      </c>
      <c r="K27" s="10">
        <v>0</v>
      </c>
      <c r="L27" s="2">
        <f>7700000+300000+2460000</f>
        <v>10460000</v>
      </c>
      <c r="M27" s="3">
        <v>19719007.440000001</v>
      </c>
      <c r="N27" s="4">
        <v>19719007.440000001</v>
      </c>
      <c r="O27" s="4">
        <v>19719007.399999999</v>
      </c>
      <c r="P27" s="4">
        <v>19719007.399999999</v>
      </c>
      <c r="Q27" s="4">
        <v>19719007.399999999</v>
      </c>
      <c r="R27" s="5"/>
      <c r="AB27" s="4">
        <v>19719007.440000001</v>
      </c>
      <c r="AC27" s="5">
        <f t="shared" si="3"/>
        <v>0</v>
      </c>
      <c r="AD27" s="4">
        <v>19720000</v>
      </c>
      <c r="AE27" s="4">
        <v>19720000</v>
      </c>
      <c r="AF27" s="4">
        <v>16449026.199999999</v>
      </c>
      <c r="AG27" s="5">
        <f t="shared" si="4"/>
        <v>-992.60000000149012</v>
      </c>
      <c r="AH27" s="5">
        <f t="shared" si="5"/>
        <v>-992.60000000149012</v>
      </c>
      <c r="AI27" s="5">
        <f t="shared" si="6"/>
        <v>3269981.1999999993</v>
      </c>
    </row>
    <row r="28" spans="1:35" s="6" customFormat="1" ht="0.75" hidden="1" customHeight="1" x14ac:dyDescent="0.25">
      <c r="A28" s="59">
        <v>11</v>
      </c>
      <c r="B28" s="56" t="s">
        <v>61</v>
      </c>
      <c r="C28" s="56" t="s">
        <v>46</v>
      </c>
      <c r="D28" s="56" t="s">
        <v>8</v>
      </c>
      <c r="E28" s="56" t="s">
        <v>12</v>
      </c>
      <c r="F28" s="56" t="s">
        <v>12</v>
      </c>
      <c r="G28" s="56" t="s">
        <v>12</v>
      </c>
      <c r="H28" s="56" t="s">
        <v>12</v>
      </c>
      <c r="I28" s="1">
        <f t="shared" si="17"/>
        <v>109057022.20000002</v>
      </c>
      <c r="J28" s="1">
        <v>0</v>
      </c>
      <c r="K28" s="10">
        <v>0</v>
      </c>
      <c r="L28" s="2">
        <f>7700000+300000+2460000</f>
        <v>10460000</v>
      </c>
      <c r="M28" s="3">
        <v>19720000</v>
      </c>
      <c r="N28" s="4">
        <v>19720000</v>
      </c>
      <c r="O28" s="4">
        <f>O27</f>
        <v>19719007.399999999</v>
      </c>
      <c r="P28" s="4">
        <f>P27</f>
        <v>19719007.399999999</v>
      </c>
      <c r="Q28" s="4">
        <f>Q27</f>
        <v>19719007.399999999</v>
      </c>
      <c r="R28" s="5"/>
      <c r="AB28" s="4">
        <v>19720000</v>
      </c>
      <c r="AC28" s="5">
        <f t="shared" si="3"/>
        <v>0</v>
      </c>
      <c r="AD28" s="4">
        <f>AD27</f>
        <v>19720000</v>
      </c>
      <c r="AE28" s="4">
        <f>AE27</f>
        <v>19720000</v>
      </c>
      <c r="AF28" s="4"/>
      <c r="AG28" s="5">
        <f t="shared" si="4"/>
        <v>-992.60000000149012</v>
      </c>
      <c r="AH28" s="5">
        <f t="shared" si="5"/>
        <v>-992.60000000149012</v>
      </c>
      <c r="AI28" s="5">
        <f t="shared" si="6"/>
        <v>19719007.399999999</v>
      </c>
    </row>
    <row r="29" spans="1:35" s="6" customFormat="1" ht="60.75" customHeight="1" x14ac:dyDescent="0.25">
      <c r="A29" s="66">
        <v>11</v>
      </c>
      <c r="B29" s="79" t="s">
        <v>96</v>
      </c>
      <c r="C29" s="68" t="s">
        <v>92</v>
      </c>
      <c r="D29" s="56" t="s">
        <v>8</v>
      </c>
      <c r="E29" s="56" t="s">
        <v>12</v>
      </c>
      <c r="F29" s="56" t="s">
        <v>12</v>
      </c>
      <c r="G29" s="56" t="s">
        <v>12</v>
      </c>
      <c r="H29" s="56" t="s">
        <v>12</v>
      </c>
      <c r="I29" s="1">
        <f>SUM(J29:Q29)</f>
        <v>3716115922.23</v>
      </c>
      <c r="J29" s="4">
        <f t="shared" ref="J29:Q29" si="18">J45</f>
        <v>372889129.33999997</v>
      </c>
      <c r="K29" s="4">
        <f t="shared" si="18"/>
        <v>424396537.21000004</v>
      </c>
      <c r="L29" s="4">
        <f t="shared" si="18"/>
        <v>452889558.25</v>
      </c>
      <c r="M29" s="4">
        <f t="shared" si="18"/>
        <v>512472449.95000005</v>
      </c>
      <c r="N29" s="4">
        <f t="shared" si="18"/>
        <v>489229392.56000006</v>
      </c>
      <c r="O29" s="4">
        <f t="shared" si="18"/>
        <v>448791444.84000003</v>
      </c>
      <c r="P29" s="4">
        <f t="shared" si="18"/>
        <v>507522705.04000002</v>
      </c>
      <c r="Q29" s="4">
        <f t="shared" si="18"/>
        <v>507924705.04000002</v>
      </c>
      <c r="R29" s="5"/>
      <c r="Y29" s="6">
        <v>3235361698.0500002</v>
      </c>
      <c r="AB29" s="4">
        <f>AB45</f>
        <v>484989386.23000002</v>
      </c>
      <c r="AC29" s="5">
        <f t="shared" si="3"/>
        <v>4240006.3300000429</v>
      </c>
      <c r="AD29" s="4">
        <f t="shared" ref="AD29:AE29" si="19">AD45</f>
        <v>495228432.63</v>
      </c>
      <c r="AE29" s="4">
        <f t="shared" si="19"/>
        <v>492428432.63</v>
      </c>
      <c r="AF29" s="4"/>
      <c r="AG29" s="5">
        <f t="shared" si="4"/>
        <v>-46436987.789999962</v>
      </c>
      <c r="AH29" s="5">
        <f t="shared" si="5"/>
        <v>15094272.410000026</v>
      </c>
      <c r="AI29" s="5">
        <f t="shared" si="6"/>
        <v>507924705.04000002</v>
      </c>
    </row>
    <row r="30" spans="1:35" s="6" customFormat="1" ht="60.75" customHeight="1" x14ac:dyDescent="0.25">
      <c r="A30" s="71"/>
      <c r="B30" s="80"/>
      <c r="C30" s="70"/>
      <c r="D30" s="56" t="s">
        <v>31</v>
      </c>
      <c r="E30" s="8" t="s">
        <v>12</v>
      </c>
      <c r="F30" s="8" t="s">
        <v>12</v>
      </c>
      <c r="G30" s="8" t="s">
        <v>12</v>
      </c>
      <c r="H30" s="8" t="s">
        <v>12</v>
      </c>
      <c r="I30" s="1">
        <f t="shared" si="17"/>
        <v>193006023.70000002</v>
      </c>
      <c r="J30" s="4">
        <f t="shared" ref="J30:Q30" si="20">J46</f>
        <v>6205500</v>
      </c>
      <c r="K30" s="4">
        <f t="shared" si="20"/>
        <v>5646328</v>
      </c>
      <c r="L30" s="4">
        <f t="shared" si="20"/>
        <v>8111483.2999999998</v>
      </c>
      <c r="M30" s="4">
        <f t="shared" si="20"/>
        <v>41350284</v>
      </c>
      <c r="N30" s="4">
        <f t="shared" si="20"/>
        <v>38620065.890000001</v>
      </c>
      <c r="O30" s="4">
        <f t="shared" si="20"/>
        <v>33282199.030000001</v>
      </c>
      <c r="P30" s="4">
        <f t="shared" si="20"/>
        <v>32551958.460000001</v>
      </c>
      <c r="Q30" s="4">
        <f t="shared" si="20"/>
        <v>27238205.02</v>
      </c>
      <c r="R30" s="5"/>
      <c r="Y30" s="5">
        <f>Y29-I29</f>
        <v>-480754224.17999983</v>
      </c>
      <c r="AB30" s="4">
        <f>AB46</f>
        <v>38620065.890000001</v>
      </c>
      <c r="AC30" s="5">
        <f t="shared" si="3"/>
        <v>0</v>
      </c>
      <c r="AD30" s="4">
        <f t="shared" ref="AD30:AF30" si="21">AD46</f>
        <v>38529527.240000002</v>
      </c>
      <c r="AE30" s="4">
        <f t="shared" si="21"/>
        <v>38529527.240000002</v>
      </c>
      <c r="AF30" s="4">
        <f t="shared" si="21"/>
        <v>0</v>
      </c>
      <c r="AG30" s="5">
        <f t="shared" si="4"/>
        <v>-5247328.2100000009</v>
      </c>
      <c r="AH30" s="5">
        <f t="shared" si="5"/>
        <v>-5977568.7800000012</v>
      </c>
      <c r="AI30" s="5">
        <f t="shared" si="6"/>
        <v>27238205.02</v>
      </c>
    </row>
    <row r="31" spans="1:35" s="6" customFormat="1" ht="60.75" customHeight="1" x14ac:dyDescent="0.25">
      <c r="A31" s="67"/>
      <c r="B31" s="81"/>
      <c r="C31" s="69"/>
      <c r="D31" s="56" t="s">
        <v>40</v>
      </c>
      <c r="E31" s="8" t="s">
        <v>12</v>
      </c>
      <c r="F31" s="8" t="s">
        <v>12</v>
      </c>
      <c r="G31" s="8" t="s">
        <v>12</v>
      </c>
      <c r="H31" s="8" t="s">
        <v>12</v>
      </c>
      <c r="I31" s="1">
        <f t="shared" si="17"/>
        <v>493882</v>
      </c>
      <c r="J31" s="4">
        <f t="shared" ref="J31:Q31" si="22">J47</f>
        <v>0</v>
      </c>
      <c r="K31" s="4">
        <f t="shared" si="22"/>
        <v>0</v>
      </c>
      <c r="L31" s="4">
        <f t="shared" si="22"/>
        <v>0</v>
      </c>
      <c r="M31" s="4">
        <f t="shared" si="22"/>
        <v>0</v>
      </c>
      <c r="N31" s="4">
        <f t="shared" si="22"/>
        <v>493882</v>
      </c>
      <c r="O31" s="4">
        <f t="shared" si="22"/>
        <v>0</v>
      </c>
      <c r="P31" s="4">
        <f t="shared" si="22"/>
        <v>0</v>
      </c>
      <c r="Q31" s="4">
        <f t="shared" si="22"/>
        <v>0</v>
      </c>
      <c r="R31" s="5"/>
      <c r="AB31" s="4">
        <f>AB47</f>
        <v>493882</v>
      </c>
      <c r="AC31" s="5">
        <f t="shared" si="3"/>
        <v>0</v>
      </c>
      <c r="AD31" s="4">
        <f t="shared" ref="AD31:AF31" si="23">AD47</f>
        <v>0</v>
      </c>
      <c r="AE31" s="4">
        <f t="shared" si="23"/>
        <v>0</v>
      </c>
      <c r="AF31" s="4">
        <f t="shared" si="23"/>
        <v>0</v>
      </c>
      <c r="AG31" s="5">
        <f t="shared" si="4"/>
        <v>0</v>
      </c>
      <c r="AH31" s="5">
        <f t="shared" si="5"/>
        <v>0</v>
      </c>
      <c r="AI31" s="5">
        <f t="shared" si="6"/>
        <v>0</v>
      </c>
    </row>
    <row r="32" spans="1:35" s="6" customFormat="1" ht="60.75" customHeight="1" x14ac:dyDescent="0.25">
      <c r="A32" s="64">
        <v>12</v>
      </c>
      <c r="B32" s="65" t="s">
        <v>97</v>
      </c>
      <c r="C32" s="78" t="s">
        <v>26</v>
      </c>
      <c r="D32" s="56" t="s">
        <v>40</v>
      </c>
      <c r="E32" s="8" t="s">
        <v>12</v>
      </c>
      <c r="F32" s="8" t="s">
        <v>12</v>
      </c>
      <c r="G32" s="8" t="s">
        <v>12</v>
      </c>
      <c r="H32" s="8" t="s">
        <v>12</v>
      </c>
      <c r="I32" s="1">
        <f t="shared" si="17"/>
        <v>100438120</v>
      </c>
      <c r="J32" s="4">
        <v>0</v>
      </c>
      <c r="K32" s="4">
        <f>K112</f>
        <v>100438120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5"/>
      <c r="AB32" s="4">
        <v>0</v>
      </c>
      <c r="AC32" s="5">
        <f t="shared" si="3"/>
        <v>0</v>
      </c>
      <c r="AD32" s="4">
        <v>0</v>
      </c>
      <c r="AE32" s="4">
        <v>0</v>
      </c>
      <c r="AF32" s="4">
        <v>0</v>
      </c>
      <c r="AG32" s="5">
        <f t="shared" si="4"/>
        <v>0</v>
      </c>
      <c r="AH32" s="5">
        <f t="shared" si="5"/>
        <v>0</v>
      </c>
      <c r="AI32" s="5">
        <f t="shared" si="6"/>
        <v>0</v>
      </c>
    </row>
    <row r="33" spans="1:35" s="6" customFormat="1" ht="60.75" customHeight="1" x14ac:dyDescent="0.25">
      <c r="A33" s="64"/>
      <c r="B33" s="65"/>
      <c r="C33" s="78"/>
      <c r="D33" s="56" t="s">
        <v>31</v>
      </c>
      <c r="E33" s="8" t="s">
        <v>12</v>
      </c>
      <c r="F33" s="8" t="s">
        <v>12</v>
      </c>
      <c r="G33" s="8" t="s">
        <v>12</v>
      </c>
      <c r="H33" s="8" t="s">
        <v>12</v>
      </c>
      <c r="I33" s="1">
        <f t="shared" si="17"/>
        <v>39059268.890000001</v>
      </c>
      <c r="J33" s="4">
        <v>0</v>
      </c>
      <c r="K33" s="4">
        <f>K113</f>
        <v>39059268.890000001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5"/>
      <c r="AB33" s="4">
        <v>0</v>
      </c>
      <c r="AC33" s="5">
        <f t="shared" si="3"/>
        <v>0</v>
      </c>
      <c r="AD33" s="4">
        <v>0</v>
      </c>
      <c r="AE33" s="4">
        <v>0</v>
      </c>
      <c r="AF33" s="4">
        <v>0</v>
      </c>
      <c r="AG33" s="5">
        <f t="shared" si="4"/>
        <v>0</v>
      </c>
      <c r="AH33" s="5">
        <f t="shared" si="5"/>
        <v>0</v>
      </c>
      <c r="AI33" s="5">
        <f t="shared" si="6"/>
        <v>0</v>
      </c>
    </row>
    <row r="34" spans="1:35" s="6" customFormat="1" ht="60.75" customHeight="1" x14ac:dyDescent="0.25">
      <c r="A34" s="64"/>
      <c r="B34" s="65"/>
      <c r="C34" s="78"/>
      <c r="D34" s="60" t="s">
        <v>8</v>
      </c>
      <c r="E34" s="11" t="s">
        <v>12</v>
      </c>
      <c r="F34" s="11" t="s">
        <v>12</v>
      </c>
      <c r="G34" s="11" t="s">
        <v>12</v>
      </c>
      <c r="H34" s="11" t="s">
        <v>12</v>
      </c>
      <c r="I34" s="12">
        <f t="shared" si="17"/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5"/>
      <c r="AB34" s="13">
        <v>0</v>
      </c>
      <c r="AC34" s="5">
        <f t="shared" si="3"/>
        <v>0</v>
      </c>
      <c r="AD34" s="13">
        <v>0</v>
      </c>
      <c r="AE34" s="13">
        <v>0</v>
      </c>
      <c r="AF34" s="13">
        <v>0</v>
      </c>
      <c r="AG34" s="5">
        <f t="shared" si="4"/>
        <v>0</v>
      </c>
      <c r="AH34" s="5">
        <f t="shared" si="5"/>
        <v>0</v>
      </c>
      <c r="AI34" s="5">
        <f t="shared" si="6"/>
        <v>0</v>
      </c>
    </row>
    <row r="35" spans="1:35" s="34" customFormat="1" ht="60.75" customHeight="1" x14ac:dyDescent="0.25">
      <c r="A35" s="66">
        <v>13</v>
      </c>
      <c r="B35" s="82" t="s">
        <v>98</v>
      </c>
      <c r="C35" s="68" t="s">
        <v>26</v>
      </c>
      <c r="D35" s="60" t="s">
        <v>8</v>
      </c>
      <c r="E35" s="11" t="s">
        <v>12</v>
      </c>
      <c r="F35" s="11" t="s">
        <v>12</v>
      </c>
      <c r="G35" s="11" t="s">
        <v>12</v>
      </c>
      <c r="H35" s="11" t="s">
        <v>12</v>
      </c>
      <c r="I35" s="12">
        <f t="shared" si="17"/>
        <v>352788008.77999997</v>
      </c>
      <c r="J35" s="13">
        <f t="shared" ref="J35:L36" si="24">J37</f>
        <v>0</v>
      </c>
      <c r="K35" s="13">
        <f t="shared" si="24"/>
        <v>0</v>
      </c>
      <c r="L35" s="13">
        <f t="shared" si="24"/>
        <v>0</v>
      </c>
      <c r="M35" s="13">
        <f>M37+M39</f>
        <v>453451.4</v>
      </c>
      <c r="N35" s="13">
        <f>N37+N39</f>
        <v>352334557.38</v>
      </c>
      <c r="O35" s="13">
        <f>O37</f>
        <v>0</v>
      </c>
      <c r="P35" s="13">
        <f>P37</f>
        <v>0</v>
      </c>
      <c r="Q35" s="13">
        <f>Q37</f>
        <v>0</v>
      </c>
      <c r="R35" s="33"/>
      <c r="AB35" s="13">
        <f>AB37+AB39</f>
        <v>366001970.94999999</v>
      </c>
      <c r="AC35" s="5">
        <f t="shared" si="3"/>
        <v>-13667413.569999993</v>
      </c>
      <c r="AD35" s="13">
        <f>AD37</f>
        <v>0</v>
      </c>
      <c r="AE35" s="13">
        <f>AE37</f>
        <v>0</v>
      </c>
      <c r="AF35" s="13">
        <f>AF37</f>
        <v>0</v>
      </c>
      <c r="AG35" s="5">
        <f t="shared" si="4"/>
        <v>0</v>
      </c>
      <c r="AH35" s="5">
        <f t="shared" si="5"/>
        <v>0</v>
      </c>
      <c r="AI35" s="5">
        <f t="shared" si="6"/>
        <v>0</v>
      </c>
    </row>
    <row r="36" spans="1:35" s="34" customFormat="1" ht="60.75" customHeight="1" x14ac:dyDescent="0.25">
      <c r="A36" s="67"/>
      <c r="B36" s="84"/>
      <c r="C36" s="69"/>
      <c r="D36" s="60" t="s">
        <v>31</v>
      </c>
      <c r="E36" s="11" t="s">
        <v>12</v>
      </c>
      <c r="F36" s="11" t="s">
        <v>12</v>
      </c>
      <c r="G36" s="11" t="s">
        <v>12</v>
      </c>
      <c r="H36" s="11" t="s">
        <v>12</v>
      </c>
      <c r="I36" s="12">
        <f t="shared" si="17"/>
        <v>453451400</v>
      </c>
      <c r="J36" s="13">
        <f t="shared" si="24"/>
        <v>0</v>
      </c>
      <c r="K36" s="13">
        <f t="shared" si="24"/>
        <v>0</v>
      </c>
      <c r="L36" s="13">
        <f t="shared" si="24"/>
        <v>0</v>
      </c>
      <c r="M36" s="13">
        <f>M38</f>
        <v>453451400</v>
      </c>
      <c r="N36" s="13">
        <f>N38</f>
        <v>0</v>
      </c>
      <c r="O36" s="13">
        <f>O38+O39</f>
        <v>0</v>
      </c>
      <c r="P36" s="13">
        <f>P38+P39</f>
        <v>0</v>
      </c>
      <c r="Q36" s="13">
        <f>Q38+Q39</f>
        <v>0</v>
      </c>
      <c r="R36" s="33"/>
      <c r="AB36" s="13">
        <f>AB38</f>
        <v>0</v>
      </c>
      <c r="AC36" s="5">
        <f t="shared" si="3"/>
        <v>0</v>
      </c>
      <c r="AD36" s="13">
        <f>AD38+AD39</f>
        <v>0</v>
      </c>
      <c r="AE36" s="13">
        <f>AE38+AE39</f>
        <v>0</v>
      </c>
      <c r="AF36" s="13">
        <f>AF38+AF39</f>
        <v>0</v>
      </c>
      <c r="AG36" s="5">
        <f t="shared" si="4"/>
        <v>0</v>
      </c>
      <c r="AH36" s="5">
        <f t="shared" si="5"/>
        <v>0</v>
      </c>
      <c r="AI36" s="5">
        <f t="shared" si="6"/>
        <v>0</v>
      </c>
    </row>
    <row r="37" spans="1:35" s="35" customFormat="1" ht="72.75" customHeight="1" x14ac:dyDescent="0.25">
      <c r="A37" s="66">
        <v>14</v>
      </c>
      <c r="B37" s="79" t="s">
        <v>110</v>
      </c>
      <c r="C37" s="68" t="s">
        <v>26</v>
      </c>
      <c r="D37" s="56" t="s">
        <v>8</v>
      </c>
      <c r="E37" s="8" t="s">
        <v>12</v>
      </c>
      <c r="F37" s="8" t="s">
        <v>12</v>
      </c>
      <c r="G37" s="8" t="s">
        <v>12</v>
      </c>
      <c r="H37" s="8" t="s">
        <v>12</v>
      </c>
      <c r="I37" s="1">
        <f t="shared" si="17"/>
        <v>453451.4</v>
      </c>
      <c r="J37" s="4">
        <v>0</v>
      </c>
      <c r="K37" s="4">
        <v>0</v>
      </c>
      <c r="L37" s="4">
        <v>0</v>
      </c>
      <c r="M37" s="4">
        <v>453451.4</v>
      </c>
      <c r="N37" s="4">
        <v>0</v>
      </c>
      <c r="O37" s="4">
        <v>0</v>
      </c>
      <c r="P37" s="4">
        <v>0</v>
      </c>
      <c r="Q37" s="4">
        <v>0</v>
      </c>
      <c r="R37" s="9"/>
      <c r="AB37" s="4">
        <v>13667413.57</v>
      </c>
      <c r="AC37" s="5">
        <f t="shared" si="3"/>
        <v>-13667413.57</v>
      </c>
      <c r="AD37" s="4">
        <v>0</v>
      </c>
      <c r="AE37" s="4">
        <v>0</v>
      </c>
      <c r="AF37" s="4">
        <v>0</v>
      </c>
      <c r="AG37" s="5">
        <f t="shared" si="4"/>
        <v>0</v>
      </c>
      <c r="AH37" s="5">
        <f t="shared" si="5"/>
        <v>0</v>
      </c>
      <c r="AI37" s="5">
        <f t="shared" si="6"/>
        <v>0</v>
      </c>
    </row>
    <row r="38" spans="1:35" s="35" customFormat="1" ht="90.75" customHeight="1" x14ac:dyDescent="0.25">
      <c r="A38" s="67"/>
      <c r="B38" s="81"/>
      <c r="C38" s="69"/>
      <c r="D38" s="56" t="s">
        <v>31</v>
      </c>
      <c r="E38" s="8" t="s">
        <v>12</v>
      </c>
      <c r="F38" s="8" t="s">
        <v>12</v>
      </c>
      <c r="G38" s="8" t="s">
        <v>12</v>
      </c>
      <c r="H38" s="8" t="s">
        <v>12</v>
      </c>
      <c r="I38" s="1">
        <f t="shared" si="17"/>
        <v>453451400</v>
      </c>
      <c r="J38" s="4">
        <v>0</v>
      </c>
      <c r="K38" s="4">
        <v>0</v>
      </c>
      <c r="L38" s="4">
        <v>0</v>
      </c>
      <c r="M38" s="4">
        <v>453451400</v>
      </c>
      <c r="N38" s="4">
        <v>0</v>
      </c>
      <c r="O38" s="4">
        <v>0</v>
      </c>
      <c r="P38" s="4">
        <v>0</v>
      </c>
      <c r="Q38" s="4">
        <v>0</v>
      </c>
      <c r="R38" s="9"/>
      <c r="AB38" s="4">
        <v>0</v>
      </c>
      <c r="AC38" s="5">
        <f t="shared" si="3"/>
        <v>0</v>
      </c>
      <c r="AD38" s="4">
        <v>0</v>
      </c>
      <c r="AE38" s="4">
        <v>0</v>
      </c>
      <c r="AF38" s="4">
        <v>0</v>
      </c>
      <c r="AG38" s="5">
        <f t="shared" si="4"/>
        <v>0</v>
      </c>
      <c r="AH38" s="5">
        <f t="shared" si="5"/>
        <v>0</v>
      </c>
      <c r="AI38" s="5">
        <f t="shared" si="6"/>
        <v>0</v>
      </c>
    </row>
    <row r="39" spans="1:35" s="6" customFormat="1" ht="98.25" customHeight="1" x14ac:dyDescent="0.25">
      <c r="A39" s="59">
        <v>15</v>
      </c>
      <c r="B39" s="52" t="s">
        <v>106</v>
      </c>
      <c r="C39" s="56" t="s">
        <v>26</v>
      </c>
      <c r="D39" s="56" t="s">
        <v>8</v>
      </c>
      <c r="E39" s="8" t="s">
        <v>12</v>
      </c>
      <c r="F39" s="8" t="s">
        <v>12</v>
      </c>
      <c r="G39" s="8" t="s">
        <v>12</v>
      </c>
      <c r="H39" s="8" t="s">
        <v>12</v>
      </c>
      <c r="I39" s="1">
        <f t="shared" si="17"/>
        <v>352334557.38</v>
      </c>
      <c r="J39" s="4">
        <v>0</v>
      </c>
      <c r="K39" s="4">
        <v>0</v>
      </c>
      <c r="L39" s="4">
        <v>0</v>
      </c>
      <c r="M39" s="4">
        <v>0</v>
      </c>
      <c r="N39" s="4">
        <v>352334557.38</v>
      </c>
      <c r="O39" s="4">
        <v>0</v>
      </c>
      <c r="P39" s="4">
        <v>0</v>
      </c>
      <c r="Q39" s="4">
        <v>0</v>
      </c>
      <c r="R39" s="5"/>
      <c r="AA39" s="6">
        <v>583072500</v>
      </c>
      <c r="AB39" s="4">
        <v>352334557.38</v>
      </c>
      <c r="AC39" s="5">
        <f t="shared" si="3"/>
        <v>0</v>
      </c>
      <c r="AD39" s="4">
        <v>0</v>
      </c>
      <c r="AE39" s="4">
        <v>0</v>
      </c>
      <c r="AF39" s="4">
        <v>0</v>
      </c>
      <c r="AG39" s="5">
        <f t="shared" si="4"/>
        <v>0</v>
      </c>
      <c r="AH39" s="5">
        <f t="shared" si="5"/>
        <v>0</v>
      </c>
      <c r="AI39" s="5">
        <f t="shared" si="6"/>
        <v>0</v>
      </c>
    </row>
    <row r="40" spans="1:35" s="6" customFormat="1" ht="78.75" customHeight="1" x14ac:dyDescent="0.25">
      <c r="A40" s="59">
        <v>16</v>
      </c>
      <c r="B40" s="54" t="s">
        <v>111</v>
      </c>
      <c r="C40" s="56" t="s">
        <v>26</v>
      </c>
      <c r="D40" s="56" t="s">
        <v>8</v>
      </c>
      <c r="E40" s="8" t="s">
        <v>12</v>
      </c>
      <c r="F40" s="8" t="s">
        <v>12</v>
      </c>
      <c r="G40" s="8" t="s">
        <v>12</v>
      </c>
      <c r="H40" s="8" t="s">
        <v>12</v>
      </c>
      <c r="I40" s="1">
        <f t="shared" si="17"/>
        <v>2192287</v>
      </c>
      <c r="J40" s="4">
        <f t="shared" ref="J40:Q40" si="25">J41</f>
        <v>0</v>
      </c>
      <c r="K40" s="4">
        <f t="shared" si="25"/>
        <v>0</v>
      </c>
      <c r="L40" s="4">
        <f t="shared" si="25"/>
        <v>0</v>
      </c>
      <c r="M40" s="4">
        <f t="shared" si="25"/>
        <v>0</v>
      </c>
      <c r="N40" s="4">
        <f t="shared" si="25"/>
        <v>2192287</v>
      </c>
      <c r="O40" s="4">
        <f t="shared" si="25"/>
        <v>0</v>
      </c>
      <c r="P40" s="4">
        <f t="shared" si="25"/>
        <v>0</v>
      </c>
      <c r="Q40" s="4">
        <f t="shared" si="25"/>
        <v>0</v>
      </c>
      <c r="R40" s="5"/>
      <c r="AB40" s="4">
        <f>AB41</f>
        <v>2192287</v>
      </c>
      <c r="AC40" s="5">
        <f t="shared" si="3"/>
        <v>0</v>
      </c>
      <c r="AD40" s="4">
        <f t="shared" ref="AD40" si="26">AD41</f>
        <v>0</v>
      </c>
      <c r="AE40" s="4">
        <f t="shared" ref="AE40" si="27">AE41</f>
        <v>0</v>
      </c>
      <c r="AF40" s="4">
        <f t="shared" ref="AF40" si="28">AF41</f>
        <v>0</v>
      </c>
      <c r="AG40" s="5">
        <f t="shared" si="4"/>
        <v>0</v>
      </c>
      <c r="AH40" s="5">
        <f t="shared" si="5"/>
        <v>0</v>
      </c>
      <c r="AI40" s="5">
        <f t="shared" si="6"/>
        <v>0</v>
      </c>
    </row>
    <row r="41" spans="1:35" s="6" customFormat="1" ht="129.75" customHeight="1" x14ac:dyDescent="0.25">
      <c r="A41" s="59">
        <v>17</v>
      </c>
      <c r="B41" s="54" t="s">
        <v>112</v>
      </c>
      <c r="C41" s="56" t="s">
        <v>26</v>
      </c>
      <c r="D41" s="56" t="s">
        <v>8</v>
      </c>
      <c r="E41" s="8" t="s">
        <v>12</v>
      </c>
      <c r="F41" s="8" t="s">
        <v>12</v>
      </c>
      <c r="G41" s="8" t="s">
        <v>12</v>
      </c>
      <c r="H41" s="8" t="s">
        <v>12</v>
      </c>
      <c r="I41" s="1">
        <f t="shared" si="17"/>
        <v>2192287</v>
      </c>
      <c r="J41" s="4">
        <v>0</v>
      </c>
      <c r="K41" s="4">
        <v>0</v>
      </c>
      <c r="L41" s="4">
        <v>0</v>
      </c>
      <c r="M41" s="4">
        <v>0</v>
      </c>
      <c r="N41" s="4">
        <v>2192287</v>
      </c>
      <c r="O41" s="4">
        <v>0</v>
      </c>
      <c r="P41" s="4">
        <v>0</v>
      </c>
      <c r="Q41" s="4">
        <v>0</v>
      </c>
      <c r="R41" s="5"/>
      <c r="AB41" s="4">
        <v>2192287</v>
      </c>
      <c r="AC41" s="5">
        <f t="shared" si="3"/>
        <v>0</v>
      </c>
      <c r="AD41" s="4">
        <v>0</v>
      </c>
      <c r="AE41" s="4">
        <v>0</v>
      </c>
      <c r="AF41" s="4">
        <v>0</v>
      </c>
      <c r="AG41" s="5">
        <f t="shared" si="4"/>
        <v>0</v>
      </c>
      <c r="AH41" s="5">
        <f t="shared" si="5"/>
        <v>0</v>
      </c>
      <c r="AI41" s="5">
        <f t="shared" si="6"/>
        <v>0</v>
      </c>
    </row>
    <row r="42" spans="1:35" s="6" customFormat="1" ht="56.25" customHeight="1" x14ac:dyDescent="0.25">
      <c r="A42" s="91" t="s">
        <v>14</v>
      </c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3"/>
      <c r="R42" s="5"/>
      <c r="AA42" s="6">
        <f>N39/AA39*100</f>
        <v>60.427229440592725</v>
      </c>
      <c r="AC42" s="5">
        <f t="shared" si="3"/>
        <v>0</v>
      </c>
      <c r="AD42" s="4">
        <v>0</v>
      </c>
      <c r="AE42" s="4">
        <v>0</v>
      </c>
      <c r="AF42" s="4">
        <v>0</v>
      </c>
      <c r="AG42" s="5">
        <f t="shared" si="4"/>
        <v>0</v>
      </c>
      <c r="AH42" s="5">
        <f t="shared" si="5"/>
        <v>0</v>
      </c>
      <c r="AI42" s="5">
        <f t="shared" si="6"/>
        <v>0</v>
      </c>
    </row>
    <row r="43" spans="1:35" s="6" customFormat="1" ht="17.25" hidden="1" customHeight="1" x14ac:dyDescent="0.25">
      <c r="A43" s="14"/>
      <c r="B43" s="15"/>
      <c r="C43" s="16"/>
      <c r="D43" s="16"/>
      <c r="E43" s="16"/>
      <c r="F43" s="16"/>
      <c r="G43" s="16"/>
      <c r="H43" s="16"/>
      <c r="I43" s="16"/>
      <c r="J43" s="16"/>
      <c r="K43" s="16"/>
      <c r="L43" s="17"/>
      <c r="M43" s="8"/>
      <c r="N43" s="9"/>
      <c r="O43" s="4"/>
      <c r="P43" s="4"/>
      <c r="Q43" s="4"/>
      <c r="R43" s="5"/>
      <c r="AB43" s="9"/>
      <c r="AC43" s="5">
        <f t="shared" si="3"/>
        <v>0</v>
      </c>
      <c r="AG43" s="5">
        <f t="shared" si="4"/>
        <v>0</v>
      </c>
      <c r="AH43" s="5">
        <f t="shared" si="5"/>
        <v>0</v>
      </c>
      <c r="AI43" s="5">
        <f t="shared" si="6"/>
        <v>0</v>
      </c>
    </row>
    <row r="44" spans="1:35" s="6" customFormat="1" ht="15" hidden="1" customHeight="1" x14ac:dyDescent="0.25">
      <c r="A44" s="18"/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1"/>
      <c r="M44" s="8"/>
      <c r="N44" s="9"/>
      <c r="O44" s="4"/>
      <c r="P44" s="4"/>
      <c r="Q44" s="4"/>
      <c r="R44" s="5"/>
      <c r="AB44" s="9"/>
      <c r="AC44" s="5">
        <f t="shared" si="3"/>
        <v>0</v>
      </c>
      <c r="AG44" s="5">
        <f t="shared" si="4"/>
        <v>0</v>
      </c>
      <c r="AH44" s="5">
        <f t="shared" si="5"/>
        <v>0</v>
      </c>
      <c r="AI44" s="5">
        <f t="shared" si="6"/>
        <v>0</v>
      </c>
    </row>
    <row r="45" spans="1:35" s="6" customFormat="1" ht="85.5" customHeight="1" x14ac:dyDescent="0.25">
      <c r="A45" s="66">
        <v>18</v>
      </c>
      <c r="B45" s="82" t="s">
        <v>62</v>
      </c>
      <c r="C45" s="68" t="s">
        <v>90</v>
      </c>
      <c r="D45" s="56" t="s">
        <v>8</v>
      </c>
      <c r="E45" s="56" t="s">
        <v>12</v>
      </c>
      <c r="F45" s="56" t="s">
        <v>12</v>
      </c>
      <c r="G45" s="56" t="s">
        <v>12</v>
      </c>
      <c r="H45" s="56" t="s">
        <v>12</v>
      </c>
      <c r="I45" s="1">
        <f t="shared" ref="I45:I52" si="29">J45+K45+L45+M45+N45+O45+P45+Q45</f>
        <v>3716115922.23</v>
      </c>
      <c r="J45" s="1">
        <f t="shared" ref="J45:Q45" si="30">J48+J94</f>
        <v>372889129.33999997</v>
      </c>
      <c r="K45" s="1">
        <f t="shared" si="30"/>
        <v>424396537.21000004</v>
      </c>
      <c r="L45" s="1">
        <f t="shared" si="30"/>
        <v>452889558.25</v>
      </c>
      <c r="M45" s="4">
        <f t="shared" si="30"/>
        <v>512472449.95000005</v>
      </c>
      <c r="N45" s="4">
        <f t="shared" si="30"/>
        <v>489229392.56000006</v>
      </c>
      <c r="O45" s="4">
        <f t="shared" si="30"/>
        <v>448791444.84000003</v>
      </c>
      <c r="P45" s="4">
        <f t="shared" si="30"/>
        <v>507522705.04000002</v>
      </c>
      <c r="Q45" s="4">
        <f t="shared" si="30"/>
        <v>507924705.04000002</v>
      </c>
      <c r="R45" s="5">
        <f>SUM(N45:N47)</f>
        <v>528343340.45000005</v>
      </c>
      <c r="AA45" s="5">
        <f>AA39-N39</f>
        <v>230737942.62</v>
      </c>
      <c r="AB45" s="4">
        <f>AB48+AB94</f>
        <v>484989386.23000002</v>
      </c>
      <c r="AC45" s="5">
        <f t="shared" si="3"/>
        <v>4240006.3300000429</v>
      </c>
      <c r="AD45" s="4">
        <f t="shared" ref="AD45:AF45" si="31">AD48+AD94</f>
        <v>495228432.63</v>
      </c>
      <c r="AE45" s="4">
        <f t="shared" si="31"/>
        <v>492428432.63</v>
      </c>
      <c r="AF45" s="4">
        <f t="shared" si="31"/>
        <v>0</v>
      </c>
      <c r="AG45" s="5">
        <f t="shared" si="4"/>
        <v>-46436987.789999962</v>
      </c>
      <c r="AH45" s="5">
        <f t="shared" si="5"/>
        <v>15094272.410000026</v>
      </c>
      <c r="AI45" s="5">
        <f t="shared" si="6"/>
        <v>507924705.04000002</v>
      </c>
    </row>
    <row r="46" spans="1:35" s="6" customFormat="1" ht="66" customHeight="1" x14ac:dyDescent="0.25">
      <c r="A46" s="71"/>
      <c r="B46" s="83"/>
      <c r="C46" s="70"/>
      <c r="D46" s="56" t="s">
        <v>31</v>
      </c>
      <c r="E46" s="56" t="s">
        <v>12</v>
      </c>
      <c r="F46" s="56" t="s">
        <v>12</v>
      </c>
      <c r="G46" s="56" t="s">
        <v>12</v>
      </c>
      <c r="H46" s="56" t="s">
        <v>12</v>
      </c>
      <c r="I46" s="1">
        <f t="shared" si="29"/>
        <v>193006023.70000002</v>
      </c>
      <c r="J46" s="1">
        <f t="shared" ref="J46:Q46" si="32">J72</f>
        <v>6205500</v>
      </c>
      <c r="K46" s="1">
        <f t="shared" si="32"/>
        <v>5646328</v>
      </c>
      <c r="L46" s="1">
        <f t="shared" si="32"/>
        <v>8111483.2999999998</v>
      </c>
      <c r="M46" s="4">
        <f>M72+M76</f>
        <v>41350284</v>
      </c>
      <c r="N46" s="4">
        <f>N49</f>
        <v>38620065.890000001</v>
      </c>
      <c r="O46" s="4">
        <f>O49</f>
        <v>33282199.030000001</v>
      </c>
      <c r="P46" s="4">
        <f>P49</f>
        <v>32551958.460000001</v>
      </c>
      <c r="Q46" s="4">
        <f t="shared" si="32"/>
        <v>27238205.02</v>
      </c>
      <c r="R46" s="5">
        <f>N38+R45+N27+N17+N18+N21</f>
        <v>563929510.42000008</v>
      </c>
      <c r="AA46" s="6">
        <f>AA45/AA39*100</f>
        <v>39.572770559407275</v>
      </c>
      <c r="AB46" s="4">
        <f>AB49</f>
        <v>38620065.890000001</v>
      </c>
      <c r="AC46" s="5">
        <f t="shared" si="3"/>
        <v>0</v>
      </c>
      <c r="AD46" s="4">
        <f>AD49</f>
        <v>38529527.240000002</v>
      </c>
      <c r="AE46" s="4">
        <f>AE49</f>
        <v>38529527.240000002</v>
      </c>
      <c r="AF46" s="4">
        <f t="shared" ref="AF46" si="33">AF72</f>
        <v>0</v>
      </c>
      <c r="AG46" s="5">
        <f t="shared" si="4"/>
        <v>-5247328.2100000009</v>
      </c>
      <c r="AH46" s="5">
        <f t="shared" si="5"/>
        <v>-5977568.7800000012</v>
      </c>
      <c r="AI46" s="5">
        <f t="shared" si="6"/>
        <v>27238205.02</v>
      </c>
    </row>
    <row r="47" spans="1:35" s="6" customFormat="1" ht="69" customHeight="1" x14ac:dyDescent="0.25">
      <c r="A47" s="67"/>
      <c r="B47" s="84"/>
      <c r="C47" s="69"/>
      <c r="D47" s="56" t="s">
        <v>40</v>
      </c>
      <c r="E47" s="56" t="s">
        <v>12</v>
      </c>
      <c r="F47" s="56" t="s">
        <v>12</v>
      </c>
      <c r="G47" s="56" t="s">
        <v>12</v>
      </c>
      <c r="H47" s="56" t="s">
        <v>12</v>
      </c>
      <c r="I47" s="1">
        <f>J47+K47+L47+M47+N47+O47+P47+Q47</f>
        <v>493882</v>
      </c>
      <c r="J47" s="1">
        <v>0</v>
      </c>
      <c r="K47" s="1">
        <v>0</v>
      </c>
      <c r="L47" s="1">
        <v>0</v>
      </c>
      <c r="M47" s="4">
        <v>0</v>
      </c>
      <c r="N47" s="4">
        <f>N62</f>
        <v>493882</v>
      </c>
      <c r="O47" s="4">
        <f>O62</f>
        <v>0</v>
      </c>
      <c r="P47" s="4">
        <f>P62</f>
        <v>0</v>
      </c>
      <c r="Q47" s="4">
        <f>Q62</f>
        <v>0</v>
      </c>
      <c r="R47" s="5">
        <f>R12-R46</f>
        <v>-563929510.42000008</v>
      </c>
      <c r="AB47" s="4">
        <f>AB62</f>
        <v>493882</v>
      </c>
      <c r="AC47" s="5">
        <f t="shared" si="3"/>
        <v>0</v>
      </c>
      <c r="AD47" s="4">
        <f>AD62</f>
        <v>0</v>
      </c>
      <c r="AE47" s="4">
        <f>AE62</f>
        <v>0</v>
      </c>
      <c r="AF47" s="4">
        <f>AF62</f>
        <v>0</v>
      </c>
      <c r="AG47" s="5">
        <f t="shared" si="4"/>
        <v>0</v>
      </c>
      <c r="AH47" s="5">
        <f t="shared" si="5"/>
        <v>0</v>
      </c>
      <c r="AI47" s="5">
        <f t="shared" si="6"/>
        <v>0</v>
      </c>
    </row>
    <row r="48" spans="1:35" s="6" customFormat="1" ht="68.25" customHeight="1" x14ac:dyDescent="0.25">
      <c r="A48" s="66">
        <v>19</v>
      </c>
      <c r="B48" s="82" t="s">
        <v>63</v>
      </c>
      <c r="C48" s="68" t="s">
        <v>91</v>
      </c>
      <c r="D48" s="56" t="s">
        <v>8</v>
      </c>
      <c r="E48" s="56" t="s">
        <v>12</v>
      </c>
      <c r="F48" s="56" t="s">
        <v>12</v>
      </c>
      <c r="G48" s="56" t="s">
        <v>12</v>
      </c>
      <c r="H48" s="56" t="s">
        <v>12</v>
      </c>
      <c r="I48" s="1">
        <f t="shared" si="29"/>
        <v>3708917147.96</v>
      </c>
      <c r="J48" s="1">
        <f>J51+J52+J58+J59+J60+J77+J78</f>
        <v>372383529.33999997</v>
      </c>
      <c r="K48" s="1">
        <f>K51+K52+K58+K59+K60+K77+K78+K79+K80+K81+K82</f>
        <v>423682368.21000004</v>
      </c>
      <c r="L48" s="1">
        <f>L51+L52+L58+L59+L60+L77+L78+L79+L80+L83+L89+L88</f>
        <v>452291630.50999999</v>
      </c>
      <c r="M48" s="1">
        <f>M51+M52+M58+M59+M60+M77+M78+M79+M80+M83+M89</f>
        <v>511599919.39000005</v>
      </c>
      <c r="N48" s="1">
        <f>N51+N52+N58+N59+N77+N78+N79+N80+N83+N89+N60</f>
        <v>488252244.59000003</v>
      </c>
      <c r="O48" s="1">
        <f>O51+O52+O58+O59+O77+O78+O79+O80+O83+O89+O60</f>
        <v>447614311.84000003</v>
      </c>
      <c r="P48" s="1">
        <f>P51+P52+P58+P59+P77+P78+P79+P80+P83+P89+P60</f>
        <v>506345572.04000002</v>
      </c>
      <c r="Q48" s="1">
        <f>Q51+Q52+Q58+Q59+Q77+Q78+Q79+Q80+Q83+Q89+Q60</f>
        <v>506747572.04000002</v>
      </c>
      <c r="R48" s="5">
        <f>N48+N49+N50+N94</f>
        <v>528343340.45000005</v>
      </c>
      <c r="AB48" s="1">
        <f>AB51+AB52+AB58+AB59+AB77+AB78+AB79+AB80+AB83+AB89+AB60</f>
        <v>483812253.23000002</v>
      </c>
      <c r="AC48" s="5">
        <f t="shared" si="3"/>
        <v>4439991.3600000143</v>
      </c>
      <c r="AD48" s="1">
        <f>AD51+AD52+AD58+AD59+AD77+AD78+AD79+AD80+AD83+AD89+AD60</f>
        <v>494150279.63</v>
      </c>
      <c r="AE48" s="1">
        <f>AE51+AE52+AE58+AE59+AE77+AE78+AE79+AE80+AE83+AE89+AE60</f>
        <v>491350279.63</v>
      </c>
      <c r="AF48" s="1">
        <f>AF51+AF52+AF58+AF59+AF77+AF78+AF79+AF80+AF83+AF89+AF60</f>
        <v>0</v>
      </c>
      <c r="AG48" s="5">
        <f t="shared" si="4"/>
        <v>-46535967.789999962</v>
      </c>
      <c r="AH48" s="5">
        <f t="shared" si="5"/>
        <v>14995292.410000026</v>
      </c>
      <c r="AI48" s="5">
        <f t="shared" si="6"/>
        <v>506747572.04000002</v>
      </c>
    </row>
    <row r="49" spans="1:36" s="6" customFormat="1" ht="72" customHeight="1" x14ac:dyDescent="0.25">
      <c r="A49" s="71"/>
      <c r="B49" s="83"/>
      <c r="C49" s="70"/>
      <c r="D49" s="56" t="s">
        <v>31</v>
      </c>
      <c r="E49" s="56" t="s">
        <v>12</v>
      </c>
      <c r="F49" s="56" t="s">
        <v>12</v>
      </c>
      <c r="G49" s="56" t="s">
        <v>12</v>
      </c>
      <c r="H49" s="56" t="s">
        <v>12</v>
      </c>
      <c r="I49" s="1">
        <f t="shared" si="29"/>
        <v>193006023.70000002</v>
      </c>
      <c r="J49" s="1">
        <f>J72</f>
        <v>6205500</v>
      </c>
      <c r="K49" s="1">
        <f>K72</f>
        <v>5646328</v>
      </c>
      <c r="L49" s="1">
        <f>L72</f>
        <v>8111483.2999999998</v>
      </c>
      <c r="M49" s="4">
        <f>M72+M76</f>
        <v>41350284</v>
      </c>
      <c r="N49" s="4">
        <f>N69+N72</f>
        <v>38620065.890000001</v>
      </c>
      <c r="O49" s="4">
        <f>O72</f>
        <v>33282199.030000001</v>
      </c>
      <c r="P49" s="4">
        <f>P72</f>
        <v>32551958.460000001</v>
      </c>
      <c r="Q49" s="4">
        <f>Q72</f>
        <v>27238205.02</v>
      </c>
      <c r="R49" s="5"/>
      <c r="AB49" s="4">
        <f>AB69+AB72</f>
        <v>38620065.890000001</v>
      </c>
      <c r="AC49" s="5">
        <f t="shared" si="3"/>
        <v>0</v>
      </c>
      <c r="AD49" s="4">
        <f>AD72</f>
        <v>38529527.240000002</v>
      </c>
      <c r="AE49" s="4">
        <f>AE72</f>
        <v>38529527.240000002</v>
      </c>
      <c r="AF49" s="4">
        <f>AF72</f>
        <v>0</v>
      </c>
      <c r="AG49" s="5">
        <f t="shared" si="4"/>
        <v>-5247328.2100000009</v>
      </c>
      <c r="AH49" s="5">
        <f t="shared" si="5"/>
        <v>-5977568.7800000012</v>
      </c>
      <c r="AI49" s="5">
        <f t="shared" si="6"/>
        <v>27238205.02</v>
      </c>
    </row>
    <row r="50" spans="1:36" s="6" customFormat="1" ht="80.25" customHeight="1" x14ac:dyDescent="0.25">
      <c r="A50" s="67"/>
      <c r="B50" s="84"/>
      <c r="C50" s="69"/>
      <c r="D50" s="56" t="s">
        <v>40</v>
      </c>
      <c r="E50" s="56" t="s">
        <v>12</v>
      </c>
      <c r="F50" s="56" t="s">
        <v>12</v>
      </c>
      <c r="G50" s="56" t="s">
        <v>12</v>
      </c>
      <c r="H50" s="56" t="s">
        <v>12</v>
      </c>
      <c r="I50" s="1">
        <f>J50+K50+L50+M50+N50+O50+P50+Q50</f>
        <v>493882</v>
      </c>
      <c r="J50" s="4">
        <v>0</v>
      </c>
      <c r="K50" s="4">
        <v>0</v>
      </c>
      <c r="L50" s="4">
        <v>0</v>
      </c>
      <c r="M50" s="4">
        <v>0</v>
      </c>
      <c r="N50" s="4">
        <f>N62</f>
        <v>493882</v>
      </c>
      <c r="O50" s="4">
        <f>O62</f>
        <v>0</v>
      </c>
      <c r="P50" s="4">
        <f>P62</f>
        <v>0</v>
      </c>
      <c r="Q50" s="4">
        <f>Q62</f>
        <v>0</v>
      </c>
      <c r="R50" s="5"/>
      <c r="AB50" s="4">
        <f>AB62</f>
        <v>493882</v>
      </c>
      <c r="AC50" s="5">
        <f t="shared" si="3"/>
        <v>0</v>
      </c>
      <c r="AD50" s="4">
        <f>AD62</f>
        <v>0</v>
      </c>
      <c r="AE50" s="4">
        <f>AE62</f>
        <v>0</v>
      </c>
      <c r="AF50" s="4">
        <f>AF62</f>
        <v>0</v>
      </c>
      <c r="AG50" s="5">
        <f t="shared" si="4"/>
        <v>0</v>
      </c>
      <c r="AH50" s="5">
        <f t="shared" si="5"/>
        <v>0</v>
      </c>
      <c r="AI50" s="5">
        <f t="shared" si="6"/>
        <v>0</v>
      </c>
    </row>
    <row r="51" spans="1:36" s="6" customFormat="1" ht="69" customHeight="1" x14ac:dyDescent="0.25">
      <c r="A51" s="59">
        <v>20</v>
      </c>
      <c r="B51" s="56" t="s">
        <v>64</v>
      </c>
      <c r="C51" s="56" t="s">
        <v>26</v>
      </c>
      <c r="D51" s="56" t="s">
        <v>8</v>
      </c>
      <c r="E51" s="56" t="s">
        <v>12</v>
      </c>
      <c r="F51" s="56" t="s">
        <v>12</v>
      </c>
      <c r="G51" s="56" t="s">
        <v>12</v>
      </c>
      <c r="H51" s="56" t="s">
        <v>12</v>
      </c>
      <c r="I51" s="1">
        <f t="shared" si="29"/>
        <v>13277095.16</v>
      </c>
      <c r="J51" s="1">
        <f>5116734.6-597090.8</f>
        <v>4519643.8</v>
      </c>
      <c r="K51" s="1">
        <f>1558210-750000-57020</f>
        <v>751190</v>
      </c>
      <c r="L51" s="1">
        <v>1169630</v>
      </c>
      <c r="M51" s="4">
        <f>1200000-315702</f>
        <v>884298</v>
      </c>
      <c r="N51" s="4">
        <v>2352333.36</v>
      </c>
      <c r="O51" s="4">
        <v>1200000</v>
      </c>
      <c r="P51" s="4">
        <v>1200000</v>
      </c>
      <c r="Q51" s="4">
        <v>1200000</v>
      </c>
      <c r="R51" s="5"/>
      <c r="AB51" s="4">
        <v>2400000</v>
      </c>
      <c r="AC51" s="5">
        <f t="shared" si="3"/>
        <v>-47666.64000000013</v>
      </c>
      <c r="AD51" s="4">
        <v>1200000</v>
      </c>
      <c r="AE51" s="4">
        <v>1200000</v>
      </c>
      <c r="AF51" s="4">
        <v>0</v>
      </c>
      <c r="AG51" s="5">
        <f t="shared" si="4"/>
        <v>0</v>
      </c>
      <c r="AH51" s="5">
        <f t="shared" si="5"/>
        <v>0</v>
      </c>
      <c r="AI51" s="5">
        <f t="shared" si="6"/>
        <v>1200000</v>
      </c>
    </row>
    <row r="52" spans="1:36" s="6" customFormat="1" ht="60.75" customHeight="1" x14ac:dyDescent="0.25">
      <c r="A52" s="64">
        <v>21</v>
      </c>
      <c r="B52" s="78" t="s">
        <v>65</v>
      </c>
      <c r="C52" s="56" t="s">
        <v>27</v>
      </c>
      <c r="D52" s="56" t="s">
        <v>8</v>
      </c>
      <c r="E52" s="56" t="s">
        <v>12</v>
      </c>
      <c r="F52" s="56" t="s">
        <v>12</v>
      </c>
      <c r="G52" s="56" t="s">
        <v>12</v>
      </c>
      <c r="H52" s="56" t="s">
        <v>12</v>
      </c>
      <c r="I52" s="1">
        <f t="shared" si="29"/>
        <v>58249610.799999997</v>
      </c>
      <c r="J52" s="1">
        <f t="shared" ref="J52:Q52" si="34">J54+J55+J56+J57</f>
        <v>8372406.8499999996</v>
      </c>
      <c r="K52" s="1">
        <f t="shared" si="34"/>
        <v>7098243.0200000005</v>
      </c>
      <c r="L52" s="1">
        <f t="shared" si="34"/>
        <v>6017626.6799999997</v>
      </c>
      <c r="M52" s="4">
        <f t="shared" si="34"/>
        <v>5670804.4100000001</v>
      </c>
      <c r="N52" s="4">
        <f>N54+N55+N56+N57</f>
        <v>6297393.8399999999</v>
      </c>
      <c r="O52" s="4">
        <f t="shared" si="34"/>
        <v>8405712</v>
      </c>
      <c r="P52" s="4">
        <f t="shared" si="34"/>
        <v>7992712</v>
      </c>
      <c r="Q52" s="4">
        <f t="shared" si="34"/>
        <v>8394712</v>
      </c>
      <c r="R52" s="5"/>
      <c r="AB52" s="4">
        <f>AB54+AB55+AB56+AB57</f>
        <v>7121057</v>
      </c>
      <c r="AC52" s="5">
        <f t="shared" si="3"/>
        <v>-823663.16000000015</v>
      </c>
      <c r="AD52" s="4">
        <f t="shared" ref="AD52:AF52" si="35">AD54+AD55+AD56+AD57</f>
        <v>8505712</v>
      </c>
      <c r="AE52" s="4">
        <f>AE54+AE55+AE56+AE57</f>
        <v>9175192</v>
      </c>
      <c r="AF52" s="4">
        <f t="shared" si="35"/>
        <v>0</v>
      </c>
      <c r="AG52" s="5">
        <f t="shared" si="4"/>
        <v>-100000</v>
      </c>
      <c r="AH52" s="5">
        <f t="shared" si="5"/>
        <v>-1182480</v>
      </c>
      <c r="AI52" s="5">
        <f t="shared" si="6"/>
        <v>8394712</v>
      </c>
    </row>
    <row r="53" spans="1:36" s="6" customFormat="1" ht="33" customHeight="1" x14ac:dyDescent="0.25">
      <c r="A53" s="64"/>
      <c r="B53" s="78"/>
      <c r="C53" s="56" t="s">
        <v>25</v>
      </c>
      <c r="D53" s="72"/>
      <c r="E53" s="73"/>
      <c r="F53" s="73"/>
      <c r="G53" s="73"/>
      <c r="H53" s="73"/>
      <c r="I53" s="73"/>
      <c r="J53" s="73"/>
      <c r="K53" s="73"/>
      <c r="L53" s="74"/>
      <c r="M53" s="8"/>
      <c r="N53" s="9"/>
      <c r="O53" s="4"/>
      <c r="P53" s="4"/>
      <c r="Q53" s="4"/>
      <c r="R53" s="5"/>
      <c r="AB53" s="9"/>
      <c r="AC53" s="5">
        <f t="shared" si="3"/>
        <v>0</v>
      </c>
      <c r="AD53" s="4"/>
      <c r="AE53" s="4"/>
      <c r="AF53" s="4"/>
      <c r="AG53" s="5">
        <f t="shared" si="4"/>
        <v>0</v>
      </c>
      <c r="AH53" s="5">
        <f t="shared" si="5"/>
        <v>0</v>
      </c>
      <c r="AI53" s="5">
        <f t="shared" si="6"/>
        <v>0</v>
      </c>
    </row>
    <row r="54" spans="1:36" s="6" customFormat="1" ht="38.25" customHeight="1" x14ac:dyDescent="0.25">
      <c r="A54" s="64"/>
      <c r="B54" s="78"/>
      <c r="C54" s="56" t="s">
        <v>18</v>
      </c>
      <c r="D54" s="56" t="s">
        <v>8</v>
      </c>
      <c r="E54" s="56" t="s">
        <v>12</v>
      </c>
      <c r="F54" s="56" t="s">
        <v>12</v>
      </c>
      <c r="G54" s="56" t="s">
        <v>12</v>
      </c>
      <c r="H54" s="56" t="s">
        <v>12</v>
      </c>
      <c r="I54" s="1">
        <f t="shared" ref="I54:I62" si="36">J54+K54+L54+M54+N54+O54+P54+Q54</f>
        <v>11679001.709999999</v>
      </c>
      <c r="J54" s="1">
        <v>1924953.91</v>
      </c>
      <c r="K54" s="2">
        <f>1932600-260119.13-13036.05</f>
        <v>1659444.82</v>
      </c>
      <c r="L54" s="2">
        <v>1332555.4099999999</v>
      </c>
      <c r="M54" s="3">
        <f>1299966+131912.68</f>
        <v>1431878.68</v>
      </c>
      <c r="N54" s="3">
        <v>1430168.89</v>
      </c>
      <c r="O54" s="3">
        <v>1300000</v>
      </c>
      <c r="P54" s="4">
        <v>1300000</v>
      </c>
      <c r="Q54" s="4">
        <v>1300000</v>
      </c>
      <c r="R54" s="5"/>
      <c r="AB54" s="3">
        <v>1617750</v>
      </c>
      <c r="AC54" s="5">
        <f t="shared" si="3"/>
        <v>-187581.1100000001</v>
      </c>
      <c r="AD54" s="3">
        <v>1300000</v>
      </c>
      <c r="AE54" s="4">
        <v>1300000</v>
      </c>
      <c r="AF54" s="4"/>
      <c r="AG54" s="5">
        <f t="shared" si="4"/>
        <v>0</v>
      </c>
      <c r="AH54" s="5">
        <f t="shared" si="5"/>
        <v>0</v>
      </c>
      <c r="AI54" s="5">
        <f t="shared" si="6"/>
        <v>1300000</v>
      </c>
    </row>
    <row r="55" spans="1:36" s="6" customFormat="1" ht="38.25" customHeight="1" x14ac:dyDescent="0.25">
      <c r="A55" s="64"/>
      <c r="B55" s="78"/>
      <c r="C55" s="56" t="s">
        <v>19</v>
      </c>
      <c r="D55" s="56" t="s">
        <v>8</v>
      </c>
      <c r="E55" s="56" t="s">
        <v>12</v>
      </c>
      <c r="F55" s="56" t="s">
        <v>12</v>
      </c>
      <c r="G55" s="56" t="s">
        <v>12</v>
      </c>
      <c r="H55" s="56" t="s">
        <v>12</v>
      </c>
      <c r="I55" s="1">
        <f t="shared" si="36"/>
        <v>22632103.539999999</v>
      </c>
      <c r="J55" s="1">
        <v>2331361.5099999998</v>
      </c>
      <c r="K55" s="2">
        <f>2393405-6265.96</f>
        <v>2387139.04</v>
      </c>
      <c r="L55" s="2">
        <f>2393405-1000000+400000-32251.34</f>
        <v>1761153.66</v>
      </c>
      <c r="M55" s="3">
        <f>1793405-224088.61</f>
        <v>1569316.3900000001</v>
      </c>
      <c r="N55" s="3">
        <v>2599917.94</v>
      </c>
      <c r="O55" s="3">
        <v>4202405</v>
      </c>
      <c r="P55" s="3">
        <v>3689405</v>
      </c>
      <c r="Q55" s="4">
        <v>4091405</v>
      </c>
      <c r="R55" s="5"/>
      <c r="AB55" s="3">
        <v>2600000</v>
      </c>
      <c r="AC55" s="5">
        <f t="shared" si="3"/>
        <v>-82.060000000055879</v>
      </c>
      <c r="AD55" s="3">
        <v>4202405</v>
      </c>
      <c r="AE55" s="3">
        <v>4202405</v>
      </c>
      <c r="AF55" s="4"/>
      <c r="AG55" s="5">
        <f t="shared" si="4"/>
        <v>0</v>
      </c>
      <c r="AH55" s="5">
        <f t="shared" si="5"/>
        <v>-513000</v>
      </c>
      <c r="AI55" s="5">
        <f t="shared" si="6"/>
        <v>4091405</v>
      </c>
    </row>
    <row r="56" spans="1:36" s="6" customFormat="1" ht="38.25" customHeight="1" x14ac:dyDescent="0.25">
      <c r="A56" s="64"/>
      <c r="B56" s="78"/>
      <c r="C56" s="56" t="s">
        <v>20</v>
      </c>
      <c r="D56" s="56" t="s">
        <v>8</v>
      </c>
      <c r="E56" s="56" t="s">
        <v>12</v>
      </c>
      <c r="F56" s="56" t="s">
        <v>12</v>
      </c>
      <c r="G56" s="56" t="s">
        <v>12</v>
      </c>
      <c r="H56" s="56" t="s">
        <v>12</v>
      </c>
      <c r="I56" s="1">
        <f t="shared" si="36"/>
        <v>9534623.1900000013</v>
      </c>
      <c r="J56" s="1">
        <v>1945731</v>
      </c>
      <c r="K56" s="2">
        <f>1700000-321922-18696.08</f>
        <v>1359381.92</v>
      </c>
      <c r="L56" s="2">
        <v>1099997.1599999999</v>
      </c>
      <c r="M56" s="2">
        <f>1700000-1200000+600000-170484.25</f>
        <v>929515.75</v>
      </c>
      <c r="N56" s="2">
        <f>1000000-2.64</f>
        <v>999997.36</v>
      </c>
      <c r="O56" s="4">
        <v>1000000</v>
      </c>
      <c r="P56" s="4">
        <v>1100000</v>
      </c>
      <c r="Q56" s="4">
        <v>1100000</v>
      </c>
      <c r="R56" s="5"/>
      <c r="AB56" s="2">
        <v>1000000</v>
      </c>
      <c r="AC56" s="5">
        <f t="shared" si="3"/>
        <v>-2.6400000000139698</v>
      </c>
      <c r="AD56" s="4">
        <v>1100000</v>
      </c>
      <c r="AE56" s="4">
        <v>1100000</v>
      </c>
      <c r="AF56" s="4"/>
      <c r="AG56" s="5">
        <f t="shared" si="4"/>
        <v>-100000</v>
      </c>
      <c r="AH56" s="5">
        <f t="shared" si="5"/>
        <v>0</v>
      </c>
      <c r="AI56" s="5">
        <f t="shared" si="6"/>
        <v>1100000</v>
      </c>
    </row>
    <row r="57" spans="1:36" s="6" customFormat="1" ht="38.25" customHeight="1" x14ac:dyDescent="0.25">
      <c r="A57" s="64"/>
      <c r="B57" s="78"/>
      <c r="C57" s="56" t="s">
        <v>21</v>
      </c>
      <c r="D57" s="56" t="s">
        <v>8</v>
      </c>
      <c r="E57" s="56" t="s">
        <v>12</v>
      </c>
      <c r="F57" s="56" t="s">
        <v>12</v>
      </c>
      <c r="G57" s="56" t="s">
        <v>12</v>
      </c>
      <c r="H57" s="56" t="s">
        <v>12</v>
      </c>
      <c r="I57" s="1">
        <f t="shared" si="36"/>
        <v>14403882.359999999</v>
      </c>
      <c r="J57" s="1">
        <v>2170360.4300000002</v>
      </c>
      <c r="K57" s="2">
        <f>2093747-401301-168.76</f>
        <v>1692277.24</v>
      </c>
      <c r="L57" s="2">
        <v>1823920.45</v>
      </c>
      <c r="M57" s="3">
        <f>1903307-163213.41</f>
        <v>1740093.59</v>
      </c>
      <c r="N57" s="3">
        <v>1267309.6499999999</v>
      </c>
      <c r="O57" s="3">
        <v>1903307</v>
      </c>
      <c r="P57" s="3">
        <v>1903307</v>
      </c>
      <c r="Q57" s="3">
        <v>1903307</v>
      </c>
      <c r="R57" s="5"/>
      <c r="AB57" s="3">
        <v>1903307</v>
      </c>
      <c r="AC57" s="5">
        <f t="shared" si="3"/>
        <v>-635997.35000000009</v>
      </c>
      <c r="AD57" s="3">
        <v>1903307</v>
      </c>
      <c r="AE57" s="3">
        <v>2572787</v>
      </c>
      <c r="AF57" s="3"/>
      <c r="AG57" s="5">
        <f t="shared" si="4"/>
        <v>0</v>
      </c>
      <c r="AH57" s="5">
        <f t="shared" si="5"/>
        <v>-669480</v>
      </c>
      <c r="AI57" s="5">
        <f t="shared" si="6"/>
        <v>1903307</v>
      </c>
    </row>
    <row r="58" spans="1:36" s="6" customFormat="1" ht="77.25" customHeight="1" x14ac:dyDescent="0.25">
      <c r="A58" s="59">
        <v>22</v>
      </c>
      <c r="B58" s="57" t="s">
        <v>113</v>
      </c>
      <c r="C58" s="56" t="s">
        <v>34</v>
      </c>
      <c r="D58" s="56" t="s">
        <v>8</v>
      </c>
      <c r="E58" s="56" t="s">
        <v>12</v>
      </c>
      <c r="F58" s="56" t="s">
        <v>12</v>
      </c>
      <c r="G58" s="56" t="s">
        <v>12</v>
      </c>
      <c r="H58" s="56" t="s">
        <v>12</v>
      </c>
      <c r="I58" s="1">
        <f t="shared" si="36"/>
        <v>1038478549.29</v>
      </c>
      <c r="J58" s="1">
        <f>99362389.41+5000000+2500000</f>
        <v>106862389.41</v>
      </c>
      <c r="K58" s="1">
        <f>97362389+9000000+4922806.3+2077193.7</f>
        <v>113362389</v>
      </c>
      <c r="L58" s="1">
        <v>121652713.86</v>
      </c>
      <c r="M58" s="4">
        <f>145079104+1700000-1722790.01</f>
        <v>145056313.99000001</v>
      </c>
      <c r="N58" s="4">
        <v>139638143.03</v>
      </c>
      <c r="O58" s="4">
        <v>137302200</v>
      </c>
      <c r="P58" s="4">
        <v>137302200</v>
      </c>
      <c r="Q58" s="4">
        <v>137302200</v>
      </c>
      <c r="R58" s="5"/>
      <c r="AB58" s="4">
        <v>123302198</v>
      </c>
      <c r="AC58" s="5">
        <f t="shared" si="3"/>
        <v>16335945.030000001</v>
      </c>
      <c r="AD58" s="4">
        <v>121302198</v>
      </c>
      <c r="AE58" s="4">
        <v>121302198</v>
      </c>
      <c r="AF58" s="4">
        <v>0</v>
      </c>
      <c r="AG58" s="5">
        <f>O58-AD58</f>
        <v>16000002</v>
      </c>
      <c r="AH58" s="5">
        <f t="shared" si="5"/>
        <v>16000002</v>
      </c>
      <c r="AI58" s="5">
        <f t="shared" si="6"/>
        <v>137302200</v>
      </c>
    </row>
    <row r="59" spans="1:36" s="6" customFormat="1" ht="57.75" customHeight="1" x14ac:dyDescent="0.25">
      <c r="A59" s="59">
        <v>23</v>
      </c>
      <c r="B59" s="56" t="s">
        <v>66</v>
      </c>
      <c r="C59" s="56" t="s">
        <v>28</v>
      </c>
      <c r="D59" s="56" t="s">
        <v>8</v>
      </c>
      <c r="E59" s="56" t="s">
        <v>12</v>
      </c>
      <c r="F59" s="56" t="s">
        <v>12</v>
      </c>
      <c r="G59" s="56" t="s">
        <v>12</v>
      </c>
      <c r="H59" s="56" t="s">
        <v>12</v>
      </c>
      <c r="I59" s="1">
        <f t="shared" si="36"/>
        <v>1631948000.98</v>
      </c>
      <c r="J59" s="1">
        <f>177700000+4600000-1410059.59-1199940.4</f>
        <v>179690000.00999999</v>
      </c>
      <c r="K59" s="1">
        <f>190154874.28+159866.72+1500000+1840133.28</f>
        <v>193654874.28</v>
      </c>
      <c r="L59" s="1">
        <f>215505954.83+198000</f>
        <v>215703954.83000001</v>
      </c>
      <c r="M59" s="4">
        <v>218465347.84</v>
      </c>
      <c r="N59" s="4">
        <v>208381117.22</v>
      </c>
      <c r="O59" s="4">
        <v>163280706.80000001</v>
      </c>
      <c r="P59" s="4">
        <v>226386000</v>
      </c>
      <c r="Q59" s="4">
        <v>226386000</v>
      </c>
      <c r="R59" s="5"/>
      <c r="AB59" s="4">
        <v>212886000</v>
      </c>
      <c r="AC59" s="5">
        <f t="shared" si="3"/>
        <v>-4504882.7800000012</v>
      </c>
      <c r="AD59" s="4">
        <v>226386000</v>
      </c>
      <c r="AE59" s="4">
        <v>226386000</v>
      </c>
      <c r="AF59" s="4"/>
      <c r="AG59" s="5">
        <f t="shared" si="4"/>
        <v>-63105293.199999988</v>
      </c>
      <c r="AH59" s="5">
        <f t="shared" si="5"/>
        <v>0</v>
      </c>
      <c r="AI59" s="5">
        <f t="shared" si="6"/>
        <v>226386000</v>
      </c>
    </row>
    <row r="60" spans="1:36" s="6" customFormat="1" ht="54" customHeight="1" x14ac:dyDescent="0.25">
      <c r="A60" s="66">
        <v>24</v>
      </c>
      <c r="B60" s="68" t="s">
        <v>67</v>
      </c>
      <c r="C60" s="68" t="s">
        <v>103</v>
      </c>
      <c r="D60" s="56" t="s">
        <v>8</v>
      </c>
      <c r="E60" s="56" t="s">
        <v>12</v>
      </c>
      <c r="F60" s="56" t="s">
        <v>12</v>
      </c>
      <c r="G60" s="56" t="s">
        <v>12</v>
      </c>
      <c r="H60" s="56" t="s">
        <v>12</v>
      </c>
      <c r="I60" s="1">
        <f t="shared" si="36"/>
        <v>282673763.12</v>
      </c>
      <c r="J60" s="4">
        <f t="shared" ref="J60:Q60" si="37">J64+J65+J66+J67+J68+J71</f>
        <v>44027696.36999999</v>
      </c>
      <c r="K60" s="4">
        <f t="shared" si="37"/>
        <v>29521452.669999998</v>
      </c>
      <c r="L60" s="4">
        <f t="shared" si="37"/>
        <v>29433094.98</v>
      </c>
      <c r="M60" s="4">
        <f t="shared" si="37"/>
        <v>36920773.090000004</v>
      </c>
      <c r="N60" s="4">
        <f>N64+N65+N66+N67+N68+N71</f>
        <v>40564309.119999997</v>
      </c>
      <c r="O60" s="4">
        <f t="shared" si="37"/>
        <v>34202145.630000003</v>
      </c>
      <c r="P60" s="4">
        <f t="shared" si="37"/>
        <v>34002145.630000003</v>
      </c>
      <c r="Q60" s="4">
        <f t="shared" si="37"/>
        <v>34002145.630000003</v>
      </c>
      <c r="R60" s="5"/>
      <c r="AB60" s="4">
        <f>AB64+AB65+AB66+AB67+AB68</f>
        <v>39060202.420000002</v>
      </c>
      <c r="AC60" s="5">
        <f t="shared" si="3"/>
        <v>1504106.6999999955</v>
      </c>
      <c r="AD60" s="4">
        <f>AD64+AD65+AD66+AD67+AD68+AD71</f>
        <v>32182321</v>
      </c>
      <c r="AE60" s="4">
        <f t="shared" ref="AE60:AF60" si="38">AE64+AE65+AE66+AE67+AE68+AE71</f>
        <v>32182321</v>
      </c>
      <c r="AF60" s="4">
        <f t="shared" si="38"/>
        <v>0</v>
      </c>
      <c r="AG60" s="5">
        <f t="shared" si="4"/>
        <v>2019824.6300000027</v>
      </c>
      <c r="AH60" s="5">
        <f t="shared" si="5"/>
        <v>1819824.6300000027</v>
      </c>
      <c r="AI60" s="5">
        <f t="shared" si="6"/>
        <v>34002145.630000003</v>
      </c>
      <c r="AJ60" s="5">
        <f>AB68+AB71</f>
        <v>37451497.420000002</v>
      </c>
    </row>
    <row r="61" spans="1:36" s="6" customFormat="1" ht="50.25" customHeight="1" x14ac:dyDescent="0.25">
      <c r="A61" s="71"/>
      <c r="B61" s="70"/>
      <c r="C61" s="70"/>
      <c r="D61" s="56" t="s">
        <v>31</v>
      </c>
      <c r="E61" s="56" t="s">
        <v>12</v>
      </c>
      <c r="F61" s="56" t="s">
        <v>12</v>
      </c>
      <c r="G61" s="56" t="s">
        <v>12</v>
      </c>
      <c r="H61" s="56" t="s">
        <v>12</v>
      </c>
      <c r="I61" s="1">
        <f t="shared" si="36"/>
        <v>78293.100000000006</v>
      </c>
      <c r="J61" s="1">
        <f>J69</f>
        <v>0</v>
      </c>
      <c r="K61" s="1">
        <f t="shared" ref="K61:Q62" si="39">K69</f>
        <v>0</v>
      </c>
      <c r="L61" s="1">
        <f t="shared" si="39"/>
        <v>0</v>
      </c>
      <c r="M61" s="1">
        <f t="shared" si="39"/>
        <v>0</v>
      </c>
      <c r="N61" s="1">
        <f t="shared" si="39"/>
        <v>78293.100000000006</v>
      </c>
      <c r="O61" s="1">
        <f t="shared" si="39"/>
        <v>0</v>
      </c>
      <c r="P61" s="1">
        <f t="shared" si="39"/>
        <v>0</v>
      </c>
      <c r="Q61" s="1">
        <f t="shared" si="39"/>
        <v>0</v>
      </c>
      <c r="R61" s="5"/>
      <c r="AB61" s="1">
        <f>AB69</f>
        <v>78293.100000000006</v>
      </c>
      <c r="AC61" s="5">
        <f t="shared" si="3"/>
        <v>0</v>
      </c>
      <c r="AD61" s="1">
        <f t="shared" ref="AD61:AF61" si="40">AD69</f>
        <v>0</v>
      </c>
      <c r="AE61" s="1">
        <f t="shared" si="40"/>
        <v>0</v>
      </c>
      <c r="AF61" s="1">
        <f t="shared" si="40"/>
        <v>0</v>
      </c>
      <c r="AG61" s="5">
        <f t="shared" si="4"/>
        <v>0</v>
      </c>
      <c r="AH61" s="5">
        <f t="shared" si="5"/>
        <v>0</v>
      </c>
      <c r="AI61" s="5">
        <f t="shared" si="6"/>
        <v>0</v>
      </c>
    </row>
    <row r="62" spans="1:36" s="6" customFormat="1" ht="42" customHeight="1" x14ac:dyDescent="0.25">
      <c r="A62" s="71"/>
      <c r="B62" s="70"/>
      <c r="C62" s="69"/>
      <c r="D62" s="56" t="s">
        <v>40</v>
      </c>
      <c r="E62" s="56" t="s">
        <v>12</v>
      </c>
      <c r="F62" s="56" t="s">
        <v>12</v>
      </c>
      <c r="G62" s="56" t="s">
        <v>12</v>
      </c>
      <c r="H62" s="56" t="s">
        <v>12</v>
      </c>
      <c r="I62" s="1">
        <f t="shared" si="36"/>
        <v>493882</v>
      </c>
      <c r="J62" s="1">
        <f>J70</f>
        <v>0</v>
      </c>
      <c r="K62" s="1">
        <f t="shared" si="39"/>
        <v>0</v>
      </c>
      <c r="L62" s="1">
        <f t="shared" si="39"/>
        <v>0</v>
      </c>
      <c r="M62" s="1">
        <f t="shared" si="39"/>
        <v>0</v>
      </c>
      <c r="N62" s="1">
        <f t="shared" si="39"/>
        <v>493882</v>
      </c>
      <c r="O62" s="1">
        <f t="shared" si="39"/>
        <v>0</v>
      </c>
      <c r="P62" s="1">
        <f t="shared" si="39"/>
        <v>0</v>
      </c>
      <c r="Q62" s="1">
        <f t="shared" si="39"/>
        <v>0</v>
      </c>
      <c r="R62" s="5"/>
      <c r="AB62" s="1">
        <f>AB70</f>
        <v>493882</v>
      </c>
      <c r="AC62" s="5">
        <f t="shared" si="3"/>
        <v>0</v>
      </c>
      <c r="AD62" s="1">
        <f t="shared" ref="AD62:AF62" si="41">AD70</f>
        <v>0</v>
      </c>
      <c r="AE62" s="1">
        <f t="shared" si="41"/>
        <v>0</v>
      </c>
      <c r="AF62" s="1">
        <f t="shared" si="41"/>
        <v>0</v>
      </c>
      <c r="AG62" s="5">
        <f t="shared" si="4"/>
        <v>0</v>
      </c>
      <c r="AH62" s="5">
        <f t="shared" si="5"/>
        <v>0</v>
      </c>
      <c r="AI62" s="5">
        <f t="shared" si="6"/>
        <v>0</v>
      </c>
    </row>
    <row r="63" spans="1:36" s="6" customFormat="1" x14ac:dyDescent="0.25">
      <c r="A63" s="71"/>
      <c r="B63" s="70"/>
      <c r="C63" s="56" t="s">
        <v>25</v>
      </c>
      <c r="D63" s="56"/>
      <c r="E63" s="56"/>
      <c r="F63" s="56"/>
      <c r="G63" s="56"/>
      <c r="H63" s="56"/>
      <c r="I63" s="1"/>
      <c r="J63" s="1"/>
      <c r="K63" s="1"/>
      <c r="L63" s="1"/>
      <c r="M63" s="4"/>
      <c r="N63" s="9"/>
      <c r="O63" s="4"/>
      <c r="P63" s="4"/>
      <c r="Q63" s="4"/>
      <c r="R63" s="5"/>
      <c r="AB63" s="9"/>
      <c r="AC63" s="5">
        <f t="shared" si="3"/>
        <v>0</v>
      </c>
      <c r="AD63" s="4"/>
      <c r="AE63" s="4"/>
      <c r="AF63" s="4"/>
      <c r="AG63" s="5">
        <f t="shared" si="4"/>
        <v>0</v>
      </c>
      <c r="AH63" s="5">
        <f t="shared" si="5"/>
        <v>0</v>
      </c>
      <c r="AI63" s="5">
        <f t="shared" si="6"/>
        <v>0</v>
      </c>
    </row>
    <row r="64" spans="1:36" s="6" customFormat="1" ht="32.25" customHeight="1" x14ac:dyDescent="0.25">
      <c r="A64" s="71"/>
      <c r="B64" s="70"/>
      <c r="C64" s="56" t="s">
        <v>22</v>
      </c>
      <c r="D64" s="56" t="s">
        <v>8</v>
      </c>
      <c r="E64" s="56" t="s">
        <v>12</v>
      </c>
      <c r="F64" s="56" t="s">
        <v>12</v>
      </c>
      <c r="G64" s="56" t="s">
        <v>12</v>
      </c>
      <c r="H64" s="56" t="s">
        <v>12</v>
      </c>
      <c r="I64" s="1">
        <f>J64+K64+L64+M64+N64+O64+P64+Q64</f>
        <v>2515649.75</v>
      </c>
      <c r="J64" s="1">
        <f>252000</f>
        <v>252000</v>
      </c>
      <c r="K64" s="2">
        <f>428400-229000-200</f>
        <v>199200</v>
      </c>
      <c r="L64" s="2">
        <f>298150</f>
        <v>298150</v>
      </c>
      <c r="M64" s="3">
        <f>334000-46700.25</f>
        <v>287299.75</v>
      </c>
      <c r="N64" s="3">
        <v>330000</v>
      </c>
      <c r="O64" s="3">
        <v>383000</v>
      </c>
      <c r="P64" s="3">
        <v>383000</v>
      </c>
      <c r="Q64" s="3">
        <v>383000</v>
      </c>
      <c r="R64" s="5"/>
      <c r="AB64" s="3">
        <v>334405</v>
      </c>
      <c r="AC64" s="5">
        <f t="shared" si="3"/>
        <v>-4405</v>
      </c>
      <c r="AD64" s="3">
        <v>334000</v>
      </c>
      <c r="AE64" s="3">
        <v>334000</v>
      </c>
      <c r="AF64" s="3"/>
      <c r="AG64" s="5">
        <f t="shared" si="4"/>
        <v>49000</v>
      </c>
      <c r="AH64" s="5">
        <f t="shared" si="5"/>
        <v>49000</v>
      </c>
      <c r="AI64" s="5">
        <f t="shared" si="6"/>
        <v>383000</v>
      </c>
    </row>
    <row r="65" spans="1:35" s="6" customFormat="1" ht="32.25" customHeight="1" x14ac:dyDescent="0.25">
      <c r="A65" s="71"/>
      <c r="B65" s="70"/>
      <c r="C65" s="56" t="s">
        <v>20</v>
      </c>
      <c r="D65" s="56" t="s">
        <v>8</v>
      </c>
      <c r="E65" s="56" t="s">
        <v>12</v>
      </c>
      <c r="F65" s="56" t="s">
        <v>12</v>
      </c>
      <c r="G65" s="56" t="s">
        <v>12</v>
      </c>
      <c r="H65" s="56" t="s">
        <v>12</v>
      </c>
      <c r="I65" s="1">
        <f t="shared" ref="I65:I72" si="42">J65+K65+L65+M65+N65+O65+P65+Q65</f>
        <v>3035193.3</v>
      </c>
      <c r="J65" s="1">
        <f>239435+91000</f>
        <v>330435</v>
      </c>
      <c r="K65" s="2">
        <f>180073-833+70000-95857</f>
        <v>153383</v>
      </c>
      <c r="L65" s="2">
        <v>349978.55</v>
      </c>
      <c r="M65" s="3">
        <f>419650.95-10000-74307</f>
        <v>335343.95</v>
      </c>
      <c r="N65" s="4">
        <f>634300-18247.2</f>
        <v>616052.80000000005</v>
      </c>
      <c r="O65" s="4">
        <v>550000</v>
      </c>
      <c r="P65" s="4">
        <v>350000</v>
      </c>
      <c r="Q65" s="4">
        <v>350000</v>
      </c>
      <c r="R65" s="5"/>
      <c r="AB65" s="4">
        <v>634300</v>
      </c>
      <c r="AC65" s="5">
        <f t="shared" si="3"/>
        <v>-18247.199999999953</v>
      </c>
      <c r="AD65" s="4">
        <v>350000</v>
      </c>
      <c r="AE65" s="4">
        <v>350000</v>
      </c>
      <c r="AF65" s="4"/>
      <c r="AG65" s="5">
        <f t="shared" si="4"/>
        <v>200000</v>
      </c>
      <c r="AH65" s="5">
        <f t="shared" si="5"/>
        <v>0</v>
      </c>
      <c r="AI65" s="5">
        <f t="shared" si="6"/>
        <v>350000</v>
      </c>
    </row>
    <row r="66" spans="1:35" s="6" customFormat="1" ht="32.25" customHeight="1" x14ac:dyDescent="0.25">
      <c r="A66" s="71"/>
      <c r="B66" s="70"/>
      <c r="C66" s="56" t="s">
        <v>21</v>
      </c>
      <c r="D66" s="56" t="s">
        <v>8</v>
      </c>
      <c r="E66" s="56" t="s">
        <v>12</v>
      </c>
      <c r="F66" s="56" t="s">
        <v>12</v>
      </c>
      <c r="G66" s="56" t="s">
        <v>12</v>
      </c>
      <c r="H66" s="56" t="s">
        <v>12</v>
      </c>
      <c r="I66" s="1">
        <f t="shared" si="42"/>
        <v>4876037</v>
      </c>
      <c r="J66" s="1">
        <v>117300</v>
      </c>
      <c r="K66" s="2">
        <v>162400</v>
      </c>
      <c r="L66" s="2">
        <v>305850</v>
      </c>
      <c r="M66" s="3">
        <f>410000-93+80000</f>
        <v>489907</v>
      </c>
      <c r="N66" s="3">
        <v>530580</v>
      </c>
      <c r="O66" s="3">
        <v>1090000</v>
      </c>
      <c r="P66" s="3">
        <v>1090000</v>
      </c>
      <c r="Q66" s="3">
        <v>1090000</v>
      </c>
      <c r="R66" s="5"/>
      <c r="AB66" s="3">
        <v>550000</v>
      </c>
      <c r="AC66" s="5">
        <f t="shared" si="3"/>
        <v>-19420</v>
      </c>
      <c r="AD66" s="4">
        <v>490000</v>
      </c>
      <c r="AE66" s="4">
        <v>490000</v>
      </c>
      <c r="AF66" s="3"/>
      <c r="AG66" s="5">
        <f t="shared" si="4"/>
        <v>600000</v>
      </c>
      <c r="AH66" s="5">
        <f t="shared" si="5"/>
        <v>600000</v>
      </c>
      <c r="AI66" s="5">
        <f t="shared" si="6"/>
        <v>1090000</v>
      </c>
    </row>
    <row r="67" spans="1:35" s="6" customFormat="1" ht="32.25" customHeight="1" x14ac:dyDescent="0.25">
      <c r="A67" s="71"/>
      <c r="B67" s="70"/>
      <c r="C67" s="56" t="s">
        <v>18</v>
      </c>
      <c r="D67" s="56" t="s">
        <v>8</v>
      </c>
      <c r="E67" s="56" t="s">
        <v>12</v>
      </c>
      <c r="F67" s="56" t="s">
        <v>12</v>
      </c>
      <c r="G67" s="56" t="s">
        <v>12</v>
      </c>
      <c r="H67" s="56" t="s">
        <v>12</v>
      </c>
      <c r="I67" s="1">
        <f t="shared" si="42"/>
        <v>406793.98</v>
      </c>
      <c r="J67" s="1">
        <v>28093.98</v>
      </c>
      <c r="K67" s="2">
        <v>0</v>
      </c>
      <c r="L67" s="2">
        <v>0</v>
      </c>
      <c r="M67" s="3">
        <v>48750</v>
      </c>
      <c r="N67" s="4">
        <v>89950</v>
      </c>
      <c r="O67" s="4">
        <v>80000</v>
      </c>
      <c r="P67" s="4">
        <v>80000</v>
      </c>
      <c r="Q67" s="4">
        <v>80000</v>
      </c>
      <c r="R67" s="5"/>
      <c r="AB67" s="4">
        <v>90000</v>
      </c>
      <c r="AC67" s="5">
        <f>N67-AB67</f>
        <v>-50</v>
      </c>
      <c r="AD67" s="4">
        <v>80000</v>
      </c>
      <c r="AE67" s="4">
        <v>80000</v>
      </c>
      <c r="AF67" s="4"/>
      <c r="AG67" s="5">
        <f t="shared" si="4"/>
        <v>0</v>
      </c>
      <c r="AH67" s="5">
        <f t="shared" si="5"/>
        <v>0</v>
      </c>
      <c r="AI67" s="5">
        <f t="shared" si="6"/>
        <v>80000</v>
      </c>
    </row>
    <row r="68" spans="1:35" s="6" customFormat="1" ht="35.25" customHeight="1" x14ac:dyDescent="0.25">
      <c r="A68" s="71"/>
      <c r="B68" s="70"/>
      <c r="C68" s="68" t="s">
        <v>104</v>
      </c>
      <c r="D68" s="56" t="s">
        <v>8</v>
      </c>
      <c r="E68" s="56" t="s">
        <v>12</v>
      </c>
      <c r="F68" s="56" t="s">
        <v>12</v>
      </c>
      <c r="G68" s="56" t="s">
        <v>12</v>
      </c>
      <c r="H68" s="56" t="s">
        <v>12</v>
      </c>
      <c r="I68" s="1">
        <f t="shared" si="42"/>
        <v>271486089.08999997</v>
      </c>
      <c r="J68" s="1">
        <f>44781524.94+2000000-283209.85-30973-1336183.24-1831291.46</f>
        <v>43299867.389999993</v>
      </c>
      <c r="K68" s="1">
        <f>28057544+127133-4942.82+1100000-264563.84-8700.67</f>
        <v>29006469.669999998</v>
      </c>
      <c r="L68" s="1">
        <f>29959116.43-1480000</f>
        <v>28479116.43</v>
      </c>
      <c r="M68" s="4">
        <v>35759472.390000001</v>
      </c>
      <c r="N68" s="4">
        <f>58523.82+758256.64+5764770+2412791.2+8540000+3707712.86+525437.14+160950+16715284.66</f>
        <v>38643726.32</v>
      </c>
      <c r="O68" s="4">
        <f>15884215.63+5894100+9540830+780000</f>
        <v>32099145.630000003</v>
      </c>
      <c r="P68" s="4">
        <f>15884215.63+5894100+9540830+780000</f>
        <v>32099145.630000003</v>
      </c>
      <c r="Q68" s="4">
        <f>15884215.63+5894100+9540830+780000</f>
        <v>32099145.630000003</v>
      </c>
      <c r="R68" s="5">
        <v>14782801</v>
      </c>
      <c r="S68" s="6">
        <v>710590</v>
      </c>
      <c r="T68" s="6">
        <v>22655917.579999998</v>
      </c>
      <c r="U68" s="6">
        <v>58523.82</v>
      </c>
      <c r="V68" s="5">
        <f>SUM(R68:U68)</f>
        <v>38207832.399999999</v>
      </c>
      <c r="AB68" s="4">
        <v>37451497.420000002</v>
      </c>
      <c r="AC68" s="5">
        <f t="shared" si="3"/>
        <v>1192228.8999999985</v>
      </c>
      <c r="AD68" s="4">
        <v>30928321</v>
      </c>
      <c r="AE68" s="4">
        <v>30928321</v>
      </c>
      <c r="AF68" s="4">
        <v>0</v>
      </c>
      <c r="AG68" s="5">
        <f t="shared" si="4"/>
        <v>1170824.6300000027</v>
      </c>
      <c r="AH68" s="5">
        <f t="shared" si="5"/>
        <v>1170824.6300000027</v>
      </c>
      <c r="AI68" s="5">
        <f t="shared" si="6"/>
        <v>32099145.630000003</v>
      </c>
    </row>
    <row r="69" spans="1:35" s="6" customFormat="1" ht="34.5" customHeight="1" x14ac:dyDescent="0.25">
      <c r="A69" s="71"/>
      <c r="B69" s="70"/>
      <c r="C69" s="70"/>
      <c r="D69" s="56" t="s">
        <v>31</v>
      </c>
      <c r="E69" s="56" t="s">
        <v>12</v>
      </c>
      <c r="F69" s="56" t="s">
        <v>12</v>
      </c>
      <c r="G69" s="56" t="s">
        <v>12</v>
      </c>
      <c r="H69" s="56" t="s">
        <v>12</v>
      </c>
      <c r="I69" s="1">
        <f t="shared" si="42"/>
        <v>78293.100000000006</v>
      </c>
      <c r="J69" s="1">
        <v>0</v>
      </c>
      <c r="K69" s="1">
        <v>0</v>
      </c>
      <c r="L69" s="1">
        <v>0</v>
      </c>
      <c r="M69" s="1">
        <v>0</v>
      </c>
      <c r="N69" s="4">
        <v>78293.100000000006</v>
      </c>
      <c r="O69" s="1">
        <v>0</v>
      </c>
      <c r="P69" s="1">
        <v>0</v>
      </c>
      <c r="Q69" s="1">
        <v>0</v>
      </c>
      <c r="R69" s="5"/>
      <c r="AB69" s="4">
        <v>78293.100000000006</v>
      </c>
      <c r="AC69" s="5">
        <f t="shared" si="3"/>
        <v>0</v>
      </c>
      <c r="AD69" s="1">
        <v>0</v>
      </c>
      <c r="AE69" s="1">
        <v>0</v>
      </c>
      <c r="AF69" s="1">
        <v>0</v>
      </c>
      <c r="AG69" s="5">
        <f t="shared" si="4"/>
        <v>0</v>
      </c>
      <c r="AH69" s="5">
        <f t="shared" si="5"/>
        <v>0</v>
      </c>
      <c r="AI69" s="5">
        <f t="shared" si="6"/>
        <v>0</v>
      </c>
    </row>
    <row r="70" spans="1:35" s="6" customFormat="1" ht="30" customHeight="1" x14ac:dyDescent="0.25">
      <c r="A70" s="71"/>
      <c r="B70" s="70"/>
      <c r="C70" s="69"/>
      <c r="D70" s="56" t="s">
        <v>40</v>
      </c>
      <c r="E70" s="56" t="s">
        <v>12</v>
      </c>
      <c r="F70" s="56" t="s">
        <v>12</v>
      </c>
      <c r="G70" s="56" t="s">
        <v>12</v>
      </c>
      <c r="H70" s="56" t="s">
        <v>12</v>
      </c>
      <c r="I70" s="1">
        <f>J70+K70+L70+M70+N70+O70+P70+Q70</f>
        <v>493882</v>
      </c>
      <c r="J70" s="1">
        <v>0</v>
      </c>
      <c r="K70" s="1">
        <v>0</v>
      </c>
      <c r="L70" s="1">
        <v>0</v>
      </c>
      <c r="M70" s="1">
        <v>0</v>
      </c>
      <c r="N70" s="4">
        <v>493882</v>
      </c>
      <c r="O70" s="1">
        <v>0</v>
      </c>
      <c r="P70" s="1">
        <v>0</v>
      </c>
      <c r="Q70" s="1">
        <v>0</v>
      </c>
      <c r="R70" s="5"/>
      <c r="AB70" s="4">
        <v>493882</v>
      </c>
      <c r="AC70" s="5">
        <f t="shared" si="3"/>
        <v>0</v>
      </c>
      <c r="AD70" s="1">
        <v>0</v>
      </c>
      <c r="AE70" s="1">
        <v>0</v>
      </c>
      <c r="AF70" s="1">
        <v>0</v>
      </c>
      <c r="AG70" s="5">
        <f t="shared" si="4"/>
        <v>0</v>
      </c>
      <c r="AH70" s="5">
        <f t="shared" si="5"/>
        <v>0</v>
      </c>
      <c r="AI70" s="5">
        <f t="shared" si="6"/>
        <v>0</v>
      </c>
    </row>
    <row r="71" spans="1:35" s="6" customFormat="1" ht="37.5" customHeight="1" x14ac:dyDescent="0.25">
      <c r="A71" s="67"/>
      <c r="B71" s="69"/>
      <c r="C71" s="61" t="s">
        <v>119</v>
      </c>
      <c r="D71" s="56" t="s">
        <v>8</v>
      </c>
      <c r="E71" s="56" t="s">
        <v>12</v>
      </c>
      <c r="F71" s="56" t="s">
        <v>12</v>
      </c>
      <c r="G71" s="56" t="s">
        <v>12</v>
      </c>
      <c r="H71" s="56" t="s">
        <v>12</v>
      </c>
      <c r="I71" s="1">
        <f>J71+K71+L71+M71+N71+O71+P71+Q71</f>
        <v>354000</v>
      </c>
      <c r="J71" s="1">
        <v>0</v>
      </c>
      <c r="K71" s="1">
        <v>0</v>
      </c>
      <c r="L71" s="1">
        <v>0</v>
      </c>
      <c r="M71" s="1">
        <v>0</v>
      </c>
      <c r="N71" s="4">
        <v>354000</v>
      </c>
      <c r="O71" s="1">
        <v>0</v>
      </c>
      <c r="P71" s="1">
        <v>0</v>
      </c>
      <c r="Q71" s="1">
        <v>0</v>
      </c>
      <c r="R71" s="5"/>
      <c r="AB71" s="4"/>
      <c r="AC71" s="5"/>
      <c r="AD71" s="1">
        <v>0</v>
      </c>
      <c r="AE71" s="1">
        <v>0</v>
      </c>
      <c r="AF71" s="1">
        <v>0</v>
      </c>
      <c r="AG71" s="5">
        <f t="shared" si="4"/>
        <v>0</v>
      </c>
      <c r="AH71" s="5">
        <f t="shared" si="5"/>
        <v>0</v>
      </c>
      <c r="AI71" s="5">
        <f t="shared" si="6"/>
        <v>0</v>
      </c>
    </row>
    <row r="72" spans="1:35" s="6" customFormat="1" ht="47.25" customHeight="1" x14ac:dyDescent="0.25">
      <c r="A72" s="64">
        <v>25</v>
      </c>
      <c r="B72" s="78" t="s">
        <v>78</v>
      </c>
      <c r="C72" s="56" t="s">
        <v>32</v>
      </c>
      <c r="D72" s="56" t="s">
        <v>31</v>
      </c>
      <c r="E72" s="56" t="s">
        <v>12</v>
      </c>
      <c r="F72" s="56" t="s">
        <v>12</v>
      </c>
      <c r="G72" s="56" t="s">
        <v>12</v>
      </c>
      <c r="H72" s="56" t="s">
        <v>12</v>
      </c>
      <c r="I72" s="1">
        <f t="shared" si="42"/>
        <v>162927730.60000002</v>
      </c>
      <c r="J72" s="1">
        <f>J74+J75</f>
        <v>6205500</v>
      </c>
      <c r="K72" s="1">
        <f>K74+K75</f>
        <v>5646328</v>
      </c>
      <c r="L72" s="1">
        <f>L74+L75</f>
        <v>8111483.2999999998</v>
      </c>
      <c r="M72" s="4">
        <f>M74+M75</f>
        <v>11350284</v>
      </c>
      <c r="N72" s="4">
        <f>N75</f>
        <v>38541772.789999999</v>
      </c>
      <c r="O72" s="4">
        <f>O75</f>
        <v>33282199.030000001</v>
      </c>
      <c r="P72" s="4">
        <f>P75</f>
        <v>32551958.460000001</v>
      </c>
      <c r="Q72" s="4">
        <f>Q75</f>
        <v>27238205.02</v>
      </c>
      <c r="R72" s="5"/>
      <c r="AB72" s="4">
        <f>AB75</f>
        <v>38541772.789999999</v>
      </c>
      <c r="AC72" s="5">
        <f t="shared" si="3"/>
        <v>0</v>
      </c>
      <c r="AD72" s="4">
        <f>AD75</f>
        <v>38529527.240000002</v>
      </c>
      <c r="AE72" s="4">
        <f>AE75</f>
        <v>38529527.240000002</v>
      </c>
      <c r="AF72" s="4">
        <f>AF75</f>
        <v>0</v>
      </c>
      <c r="AG72" s="5">
        <f t="shared" si="4"/>
        <v>-5247328.2100000009</v>
      </c>
      <c r="AH72" s="5">
        <f t="shared" si="5"/>
        <v>-5977568.7800000012</v>
      </c>
      <c r="AI72" s="5">
        <f t="shared" si="6"/>
        <v>27238205.02</v>
      </c>
    </row>
    <row r="73" spans="1:35" s="6" customFormat="1" ht="26.25" customHeight="1" x14ac:dyDescent="0.25">
      <c r="A73" s="64"/>
      <c r="B73" s="78"/>
      <c r="C73" s="56" t="s">
        <v>25</v>
      </c>
      <c r="D73" s="78"/>
      <c r="E73" s="78"/>
      <c r="F73" s="78"/>
      <c r="G73" s="78"/>
      <c r="H73" s="78"/>
      <c r="I73" s="78"/>
      <c r="J73" s="78"/>
      <c r="K73" s="78"/>
      <c r="L73" s="78"/>
      <c r="M73" s="8"/>
      <c r="N73" s="9"/>
      <c r="O73" s="4"/>
      <c r="P73" s="4"/>
      <c r="Q73" s="4"/>
      <c r="R73" s="5"/>
      <c r="AB73" s="9"/>
      <c r="AC73" s="5">
        <f t="shared" si="3"/>
        <v>0</v>
      </c>
      <c r="AD73" s="4"/>
      <c r="AE73" s="4"/>
      <c r="AF73" s="4"/>
      <c r="AG73" s="5">
        <f t="shared" si="4"/>
        <v>0</v>
      </c>
      <c r="AH73" s="5">
        <f t="shared" si="5"/>
        <v>0</v>
      </c>
      <c r="AI73" s="5">
        <f t="shared" si="6"/>
        <v>0</v>
      </c>
    </row>
    <row r="74" spans="1:35" s="6" customFormat="1" ht="46.5" customHeight="1" x14ac:dyDescent="0.25">
      <c r="A74" s="64"/>
      <c r="B74" s="78"/>
      <c r="C74" s="56" t="s">
        <v>80</v>
      </c>
      <c r="D74" s="56" t="s">
        <v>31</v>
      </c>
      <c r="E74" s="56" t="s">
        <v>12</v>
      </c>
      <c r="F74" s="56" t="s">
        <v>12</v>
      </c>
      <c r="G74" s="56" t="s">
        <v>12</v>
      </c>
      <c r="H74" s="56" t="s">
        <v>12</v>
      </c>
      <c r="I74" s="1">
        <f>J74+K74+L74+M74+N74+O74+P74+Q74</f>
        <v>445598.97</v>
      </c>
      <c r="J74" s="1">
        <f>1001346-555747.03</f>
        <v>445598.97</v>
      </c>
      <c r="K74" s="1">
        <v>0</v>
      </c>
      <c r="L74" s="1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5"/>
      <c r="AB74" s="4">
        <v>0</v>
      </c>
      <c r="AC74" s="5">
        <f t="shared" si="3"/>
        <v>0</v>
      </c>
      <c r="AD74" s="4">
        <v>0</v>
      </c>
      <c r="AE74" s="4">
        <v>0</v>
      </c>
      <c r="AF74" s="4">
        <v>0</v>
      </c>
      <c r="AG74" s="5">
        <f t="shared" si="4"/>
        <v>0</v>
      </c>
      <c r="AH74" s="5">
        <f t="shared" si="5"/>
        <v>0</v>
      </c>
      <c r="AI74" s="5">
        <f t="shared" si="6"/>
        <v>0</v>
      </c>
    </row>
    <row r="75" spans="1:35" s="6" customFormat="1" ht="39" customHeight="1" x14ac:dyDescent="0.25">
      <c r="A75" s="64"/>
      <c r="B75" s="78"/>
      <c r="C75" s="56" t="s">
        <v>33</v>
      </c>
      <c r="D75" s="56" t="s">
        <v>31</v>
      </c>
      <c r="E75" s="56" t="s">
        <v>12</v>
      </c>
      <c r="F75" s="56" t="s">
        <v>12</v>
      </c>
      <c r="G75" s="56" t="s">
        <v>12</v>
      </c>
      <c r="H75" s="56" t="s">
        <v>12</v>
      </c>
      <c r="I75" s="1">
        <f t="shared" ref="I75:I99" si="43">J75+K75+L75+M75+N75+O75+P75+Q75</f>
        <v>162482131.63000003</v>
      </c>
      <c r="J75" s="1">
        <f>5204154+555747.03</f>
        <v>5759901.0300000003</v>
      </c>
      <c r="K75" s="1">
        <f>5646400-72</f>
        <v>5646328</v>
      </c>
      <c r="L75" s="1">
        <v>8111483.2999999998</v>
      </c>
      <c r="M75" s="4">
        <v>11350284</v>
      </c>
      <c r="N75" s="4">
        <v>38541772.789999999</v>
      </c>
      <c r="O75" s="4">
        <v>33282199.030000001</v>
      </c>
      <c r="P75" s="4">
        <v>32551958.460000001</v>
      </c>
      <c r="Q75" s="4">
        <v>27238205.02</v>
      </c>
      <c r="R75" s="5"/>
      <c r="AB75" s="4">
        <v>38541772.789999999</v>
      </c>
      <c r="AC75" s="5">
        <f t="shared" ref="AC75:AC138" si="44">N75-AB75</f>
        <v>0</v>
      </c>
      <c r="AD75" s="4">
        <v>38529527.240000002</v>
      </c>
      <c r="AE75" s="4">
        <v>38529527.240000002</v>
      </c>
      <c r="AF75" s="4">
        <v>0</v>
      </c>
      <c r="AG75" s="5">
        <f t="shared" ref="AG75:AG137" si="45">O75-AD75</f>
        <v>-5247328.2100000009</v>
      </c>
      <c r="AH75" s="5">
        <f t="shared" ref="AH75:AH137" si="46">P75-AE75</f>
        <v>-5977568.7800000012</v>
      </c>
      <c r="AI75" s="5">
        <f t="shared" ref="AI75:AI137" si="47">Q75-AF75</f>
        <v>27238205.02</v>
      </c>
    </row>
    <row r="76" spans="1:35" s="6" customFormat="1" ht="87.75" customHeight="1" x14ac:dyDescent="0.25">
      <c r="A76" s="59">
        <v>26</v>
      </c>
      <c r="B76" s="56" t="s">
        <v>89</v>
      </c>
      <c r="C76" s="56" t="s">
        <v>83</v>
      </c>
      <c r="D76" s="56" t="s">
        <v>31</v>
      </c>
      <c r="E76" s="56" t="s">
        <v>12</v>
      </c>
      <c r="F76" s="56" t="s">
        <v>12</v>
      </c>
      <c r="G76" s="56" t="s">
        <v>12</v>
      </c>
      <c r="H76" s="56" t="s">
        <v>12</v>
      </c>
      <c r="I76" s="1">
        <f t="shared" si="43"/>
        <v>30000000</v>
      </c>
      <c r="J76" s="1">
        <v>0</v>
      </c>
      <c r="K76" s="1">
        <v>0</v>
      </c>
      <c r="L76" s="1">
        <v>0</v>
      </c>
      <c r="M76" s="4">
        <v>30000000</v>
      </c>
      <c r="N76" s="4">
        <v>0</v>
      </c>
      <c r="O76" s="4">
        <v>0</v>
      </c>
      <c r="P76" s="4">
        <v>0</v>
      </c>
      <c r="Q76" s="4">
        <v>0</v>
      </c>
      <c r="R76" s="5"/>
      <c r="AB76" s="4">
        <v>0</v>
      </c>
      <c r="AC76" s="5">
        <f t="shared" si="44"/>
        <v>0</v>
      </c>
      <c r="AD76" s="4">
        <v>0</v>
      </c>
      <c r="AE76" s="4">
        <v>0</v>
      </c>
      <c r="AF76" s="4">
        <v>0</v>
      </c>
      <c r="AG76" s="5">
        <f t="shared" si="45"/>
        <v>0</v>
      </c>
      <c r="AH76" s="5">
        <f t="shared" si="46"/>
        <v>0</v>
      </c>
      <c r="AI76" s="5">
        <f t="shared" si="47"/>
        <v>0</v>
      </c>
    </row>
    <row r="77" spans="1:35" s="6" customFormat="1" ht="77.25" customHeight="1" x14ac:dyDescent="0.25">
      <c r="A77" s="59">
        <v>27</v>
      </c>
      <c r="B77" s="56" t="s">
        <v>84</v>
      </c>
      <c r="C77" s="56" t="s">
        <v>79</v>
      </c>
      <c r="D77" s="56" t="s">
        <v>8</v>
      </c>
      <c r="E77" s="56" t="s">
        <v>12</v>
      </c>
      <c r="F77" s="56" t="s">
        <v>12</v>
      </c>
      <c r="G77" s="56" t="s">
        <v>12</v>
      </c>
      <c r="H77" s="56" t="s">
        <v>12</v>
      </c>
      <c r="I77" s="1">
        <f t="shared" si="43"/>
        <v>517902891.35000002</v>
      </c>
      <c r="J77" s="1">
        <f>23483723.03+1410059.59+531231.86+1468768.14</f>
        <v>26893782.620000001</v>
      </c>
      <c r="K77" s="1">
        <f>37483723+1162254.44</f>
        <v>38645977.439999998</v>
      </c>
      <c r="L77" s="1">
        <v>61874237.659999996</v>
      </c>
      <c r="M77" s="4">
        <v>75321876</v>
      </c>
      <c r="N77" s="4">
        <v>78710937.730000004</v>
      </c>
      <c r="O77" s="4">
        <v>78818693.299999997</v>
      </c>
      <c r="P77" s="4">
        <v>78818693.299999997</v>
      </c>
      <c r="Q77" s="4">
        <v>78818693.299999997</v>
      </c>
      <c r="R77" s="5"/>
      <c r="AB77" s="4">
        <v>78710937.730000004</v>
      </c>
      <c r="AC77" s="5">
        <f t="shared" si="44"/>
        <v>0</v>
      </c>
      <c r="AD77" s="4">
        <v>77710937.730000004</v>
      </c>
      <c r="AE77" s="4">
        <v>77710937.730000004</v>
      </c>
      <c r="AF77" s="4">
        <v>0</v>
      </c>
      <c r="AG77" s="5">
        <f t="shared" si="45"/>
        <v>1107755.5699999928</v>
      </c>
      <c r="AH77" s="5">
        <f t="shared" si="46"/>
        <v>1107755.5699999928</v>
      </c>
      <c r="AI77" s="5">
        <f t="shared" si="47"/>
        <v>78818693.299999997</v>
      </c>
    </row>
    <row r="78" spans="1:35" s="6" customFormat="1" ht="67.5" customHeight="1" x14ac:dyDescent="0.25">
      <c r="A78" s="59">
        <v>28</v>
      </c>
      <c r="B78" s="57" t="s">
        <v>85</v>
      </c>
      <c r="C78" s="56" t="s">
        <v>38</v>
      </c>
      <c r="D78" s="56" t="s">
        <v>8</v>
      </c>
      <c r="E78" s="56" t="s">
        <v>12</v>
      </c>
      <c r="F78" s="56" t="s">
        <v>12</v>
      </c>
      <c r="G78" s="56" t="s">
        <v>12</v>
      </c>
      <c r="H78" s="56" t="s">
        <v>12</v>
      </c>
      <c r="I78" s="1">
        <f t="shared" si="43"/>
        <v>13989372.129999999</v>
      </c>
      <c r="J78" s="1">
        <f>3000000-982389.72</f>
        <v>2017610.28</v>
      </c>
      <c r="K78" s="1">
        <v>45000</v>
      </c>
      <c r="L78" s="1">
        <f>1000000+995000</f>
        <v>1995000</v>
      </c>
      <c r="M78" s="4">
        <v>1962167.62</v>
      </c>
      <c r="N78" s="4">
        <f>1021630.9+830000</f>
        <v>1851630.9</v>
      </c>
      <c r="O78" s="4">
        <v>2039321.11</v>
      </c>
      <c r="P78" s="4">
        <v>2039321.11</v>
      </c>
      <c r="Q78" s="4">
        <v>2039321.11</v>
      </c>
      <c r="R78" s="5">
        <v>1021630.9</v>
      </c>
      <c r="S78" s="5">
        <v>1000000</v>
      </c>
      <c r="T78" s="5">
        <f>SUM(R78:S78)</f>
        <v>2021630.9</v>
      </c>
      <c r="AB78" s="4">
        <v>1994930.9</v>
      </c>
      <c r="AC78" s="5">
        <f t="shared" si="44"/>
        <v>-143300</v>
      </c>
      <c r="AD78" s="4">
        <v>2021630.9</v>
      </c>
      <c r="AE78" s="4">
        <v>2021630.9</v>
      </c>
      <c r="AF78" s="4">
        <v>0</v>
      </c>
      <c r="AG78" s="5">
        <f t="shared" si="45"/>
        <v>17690.210000000196</v>
      </c>
      <c r="AH78" s="5">
        <f t="shared" si="46"/>
        <v>17690.210000000196</v>
      </c>
      <c r="AI78" s="5">
        <f t="shared" si="47"/>
        <v>2039321.11</v>
      </c>
    </row>
    <row r="79" spans="1:35" s="6" customFormat="1" ht="54" customHeight="1" x14ac:dyDescent="0.25">
      <c r="A79" s="59">
        <v>29</v>
      </c>
      <c r="B79" s="22" t="s">
        <v>86</v>
      </c>
      <c r="C79" s="59" t="s">
        <v>80</v>
      </c>
      <c r="D79" s="23" t="s">
        <v>8</v>
      </c>
      <c r="E79" s="56" t="s">
        <v>12</v>
      </c>
      <c r="F79" s="56" t="s">
        <v>12</v>
      </c>
      <c r="G79" s="56" t="s">
        <v>12</v>
      </c>
      <c r="H79" s="56" t="s">
        <v>12</v>
      </c>
      <c r="I79" s="1">
        <f t="shared" si="43"/>
        <v>40053241.799999997</v>
      </c>
      <c r="J79" s="1">
        <v>0</v>
      </c>
      <c r="K79" s="1">
        <f>43246500-2722696.6-470561.6</f>
        <v>40053241.799999997</v>
      </c>
      <c r="L79" s="1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5"/>
      <c r="AB79" s="4">
        <v>0</v>
      </c>
      <c r="AC79" s="5">
        <f t="shared" si="44"/>
        <v>0</v>
      </c>
      <c r="AD79" s="4">
        <v>0</v>
      </c>
      <c r="AE79" s="4">
        <v>0</v>
      </c>
      <c r="AF79" s="4">
        <v>0</v>
      </c>
      <c r="AG79" s="5">
        <f t="shared" si="45"/>
        <v>0</v>
      </c>
      <c r="AH79" s="5">
        <f t="shared" si="46"/>
        <v>0</v>
      </c>
      <c r="AI79" s="5">
        <f t="shared" si="47"/>
        <v>0</v>
      </c>
    </row>
    <row r="80" spans="1:35" s="6" customFormat="1" ht="121.5" customHeight="1" x14ac:dyDescent="0.25">
      <c r="A80" s="59">
        <v>30</v>
      </c>
      <c r="B80" s="22" t="s">
        <v>93</v>
      </c>
      <c r="C80" s="24" t="s">
        <v>81</v>
      </c>
      <c r="D80" s="56" t="s">
        <v>8</v>
      </c>
      <c r="E80" s="56" t="s">
        <v>12</v>
      </c>
      <c r="F80" s="56" t="s">
        <v>12</v>
      </c>
      <c r="G80" s="56" t="s">
        <v>12</v>
      </c>
      <c r="H80" s="56" t="s">
        <v>12</v>
      </c>
      <c r="I80" s="1">
        <f t="shared" si="43"/>
        <v>95000</v>
      </c>
      <c r="J80" s="1">
        <v>0</v>
      </c>
      <c r="K80" s="1">
        <v>50000</v>
      </c>
      <c r="L80" s="1">
        <v>45000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5"/>
      <c r="AB80" s="4">
        <v>0</v>
      </c>
      <c r="AC80" s="5">
        <f t="shared" si="44"/>
        <v>0</v>
      </c>
      <c r="AD80" s="4">
        <v>0</v>
      </c>
      <c r="AE80" s="4">
        <v>0</v>
      </c>
      <c r="AF80" s="4">
        <v>0</v>
      </c>
      <c r="AG80" s="5">
        <f t="shared" si="45"/>
        <v>0</v>
      </c>
      <c r="AH80" s="5">
        <f t="shared" si="46"/>
        <v>0</v>
      </c>
      <c r="AI80" s="5">
        <f t="shared" si="47"/>
        <v>0</v>
      </c>
    </row>
    <row r="81" spans="1:35" s="6" customFormat="1" ht="1.5" hidden="1" customHeight="1" x14ac:dyDescent="0.25">
      <c r="A81" s="59"/>
      <c r="B81" s="22" t="s">
        <v>68</v>
      </c>
      <c r="C81" s="25" t="s">
        <v>44</v>
      </c>
      <c r="D81" s="56" t="s">
        <v>8</v>
      </c>
      <c r="E81" s="56" t="s">
        <v>12</v>
      </c>
      <c r="F81" s="56" t="s">
        <v>12</v>
      </c>
      <c r="G81" s="56" t="s">
        <v>12</v>
      </c>
      <c r="H81" s="56" t="s">
        <v>12</v>
      </c>
      <c r="I81" s="1">
        <f t="shared" si="43"/>
        <v>0</v>
      </c>
      <c r="J81" s="1">
        <v>0</v>
      </c>
      <c r="K81" s="1">
        <v>0</v>
      </c>
      <c r="L81" s="1">
        <v>0</v>
      </c>
      <c r="M81" s="4">
        <v>0</v>
      </c>
      <c r="N81" s="9"/>
      <c r="O81" s="4"/>
      <c r="P81" s="4"/>
      <c r="Q81" s="4"/>
      <c r="R81" s="5"/>
      <c r="AB81" s="9"/>
      <c r="AC81" s="5">
        <f t="shared" si="44"/>
        <v>0</v>
      </c>
      <c r="AD81" s="4"/>
      <c r="AE81" s="4"/>
      <c r="AF81" s="4"/>
      <c r="AG81" s="5">
        <f t="shared" si="45"/>
        <v>0</v>
      </c>
      <c r="AH81" s="5">
        <f t="shared" si="46"/>
        <v>0</v>
      </c>
      <c r="AI81" s="5">
        <f t="shared" si="47"/>
        <v>0</v>
      </c>
    </row>
    <row r="82" spans="1:35" s="6" customFormat="1" ht="82.5" customHeight="1" x14ac:dyDescent="0.25">
      <c r="A82" s="59">
        <v>31</v>
      </c>
      <c r="B82" s="22" t="s">
        <v>87</v>
      </c>
      <c r="C82" s="24" t="s">
        <v>43</v>
      </c>
      <c r="D82" s="56" t="s">
        <v>8</v>
      </c>
      <c r="E82" s="56" t="s">
        <v>12</v>
      </c>
      <c r="F82" s="56" t="s">
        <v>12</v>
      </c>
      <c r="G82" s="56" t="s">
        <v>12</v>
      </c>
      <c r="H82" s="56" t="s">
        <v>12</v>
      </c>
      <c r="I82" s="1">
        <f t="shared" si="43"/>
        <v>500000</v>
      </c>
      <c r="J82" s="1">
        <v>0</v>
      </c>
      <c r="K82" s="1">
        <v>500000</v>
      </c>
      <c r="L82" s="1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5"/>
      <c r="AB82" s="4">
        <v>0</v>
      </c>
      <c r="AC82" s="5">
        <f t="shared" si="44"/>
        <v>0</v>
      </c>
      <c r="AD82" s="4">
        <v>0</v>
      </c>
      <c r="AE82" s="4">
        <v>0</v>
      </c>
      <c r="AF82" s="4">
        <v>0</v>
      </c>
      <c r="AG82" s="5">
        <f t="shared" si="45"/>
        <v>0</v>
      </c>
      <c r="AH82" s="5">
        <f t="shared" si="46"/>
        <v>0</v>
      </c>
      <c r="AI82" s="5">
        <f t="shared" si="47"/>
        <v>0</v>
      </c>
    </row>
    <row r="83" spans="1:35" s="6" customFormat="1" ht="36.75" customHeight="1" x14ac:dyDescent="0.25">
      <c r="A83" s="66">
        <v>32</v>
      </c>
      <c r="B83" s="88" t="s">
        <v>95</v>
      </c>
      <c r="C83" s="24" t="s">
        <v>101</v>
      </c>
      <c r="D83" s="68" t="s">
        <v>8</v>
      </c>
      <c r="E83" s="56" t="s">
        <v>12</v>
      </c>
      <c r="F83" s="56" t="s">
        <v>12</v>
      </c>
      <c r="G83" s="56" t="s">
        <v>12</v>
      </c>
      <c r="H83" s="56" t="s">
        <v>12</v>
      </c>
      <c r="I83" s="1">
        <f t="shared" si="43"/>
        <v>80996015.379999995</v>
      </c>
      <c r="J83" s="1">
        <v>0</v>
      </c>
      <c r="K83" s="1">
        <v>0</v>
      </c>
      <c r="L83" s="1">
        <f>SUM(L84:L87)</f>
        <v>12722372.5</v>
      </c>
      <c r="M83" s="1">
        <f>SUM(M84:M88)</f>
        <v>19285421.34</v>
      </c>
      <c r="N83" s="1">
        <f>SUM(N84:N88)</f>
        <v>8348221.54</v>
      </c>
      <c r="O83" s="1">
        <f>SUM(O84:O88)</f>
        <v>15372000</v>
      </c>
      <c r="P83" s="1">
        <f>SUM(P84:P88)</f>
        <v>12634000</v>
      </c>
      <c r="Q83" s="1">
        <f>SUM(Q84:Q88)</f>
        <v>12634000</v>
      </c>
      <c r="R83" s="5"/>
      <c r="AB83" s="1">
        <f>SUM(AB84:AB88)</f>
        <v>15752302.18</v>
      </c>
      <c r="AC83" s="5">
        <f t="shared" si="44"/>
        <v>-7404080.6399999997</v>
      </c>
      <c r="AD83" s="1">
        <f>SUM(AD84:AD88)</f>
        <v>15972000</v>
      </c>
      <c r="AE83" s="1">
        <f>SUM(AE84:AE88)</f>
        <v>15972000</v>
      </c>
      <c r="AF83" s="1">
        <f>SUM(AF84:AF88)</f>
        <v>0</v>
      </c>
      <c r="AG83" s="5">
        <f t="shared" si="45"/>
        <v>-600000</v>
      </c>
      <c r="AH83" s="5">
        <f t="shared" si="46"/>
        <v>-3338000</v>
      </c>
      <c r="AI83" s="5">
        <f t="shared" si="47"/>
        <v>12634000</v>
      </c>
    </row>
    <row r="84" spans="1:35" s="6" customFormat="1" ht="31.5" customHeight="1" x14ac:dyDescent="0.25">
      <c r="A84" s="71"/>
      <c r="B84" s="89"/>
      <c r="C84" s="25" t="s">
        <v>44</v>
      </c>
      <c r="D84" s="70"/>
      <c r="E84" s="56" t="s">
        <v>12</v>
      </c>
      <c r="F84" s="56" t="s">
        <v>12</v>
      </c>
      <c r="G84" s="56" t="s">
        <v>12</v>
      </c>
      <c r="H84" s="56" t="s">
        <v>12</v>
      </c>
      <c r="I84" s="1">
        <f t="shared" si="43"/>
        <v>10119648.76</v>
      </c>
      <c r="J84" s="1">
        <v>0</v>
      </c>
      <c r="K84" s="1">
        <v>0</v>
      </c>
      <c r="L84" s="1">
        <f>3178000-208000-1097.44</f>
        <v>2968902.56</v>
      </c>
      <c r="M84" s="4">
        <f>4950000-537253.8</f>
        <v>4412746.2</v>
      </c>
      <c r="N84" s="4">
        <v>0</v>
      </c>
      <c r="O84" s="4">
        <v>2738000</v>
      </c>
      <c r="P84" s="4">
        <v>0</v>
      </c>
      <c r="Q84" s="4">
        <v>0</v>
      </c>
      <c r="R84" s="5"/>
      <c r="AB84" s="4">
        <v>3140000</v>
      </c>
      <c r="AC84" s="5">
        <f t="shared" si="44"/>
        <v>-3140000</v>
      </c>
      <c r="AD84" s="4">
        <v>2738000</v>
      </c>
      <c r="AE84" s="4">
        <v>2738000</v>
      </c>
      <c r="AF84" s="4">
        <v>0</v>
      </c>
      <c r="AG84" s="5">
        <f t="shared" si="45"/>
        <v>0</v>
      </c>
      <c r="AH84" s="5">
        <f t="shared" si="46"/>
        <v>-2738000</v>
      </c>
      <c r="AI84" s="5">
        <f t="shared" si="47"/>
        <v>0</v>
      </c>
    </row>
    <row r="85" spans="1:35" s="6" customFormat="1" ht="31.5" customHeight="1" x14ac:dyDescent="0.25">
      <c r="A85" s="71"/>
      <c r="B85" s="89"/>
      <c r="C85" s="25" t="s">
        <v>107</v>
      </c>
      <c r="D85" s="70"/>
      <c r="E85" s="56" t="s">
        <v>12</v>
      </c>
      <c r="F85" s="56" t="s">
        <v>12</v>
      </c>
      <c r="G85" s="56" t="s">
        <v>12</v>
      </c>
      <c r="H85" s="56" t="s">
        <v>12</v>
      </c>
      <c r="I85" s="1">
        <f t="shared" si="43"/>
        <v>32180074.719999999</v>
      </c>
      <c r="J85" s="1">
        <v>0</v>
      </c>
      <c r="K85" s="1">
        <v>0</v>
      </c>
      <c r="L85" s="1">
        <v>5693965.7800000003</v>
      </c>
      <c r="M85" s="1">
        <f>6850000-980000+165000-839016.36</f>
        <v>5195983.6399999997</v>
      </c>
      <c r="N85" s="4">
        <v>3680125.3</v>
      </c>
      <c r="O85" s="4">
        <v>5870000</v>
      </c>
      <c r="P85" s="4">
        <v>5870000</v>
      </c>
      <c r="Q85" s="4">
        <v>5870000</v>
      </c>
      <c r="R85" s="5"/>
      <c r="AB85" s="4">
        <v>5870000</v>
      </c>
      <c r="AC85" s="5">
        <f t="shared" si="44"/>
        <v>-2189874.7000000002</v>
      </c>
      <c r="AD85" s="4">
        <v>5870000</v>
      </c>
      <c r="AE85" s="4">
        <v>5870000</v>
      </c>
      <c r="AF85" s="4">
        <v>0</v>
      </c>
      <c r="AG85" s="5">
        <f t="shared" si="45"/>
        <v>0</v>
      </c>
      <c r="AH85" s="5">
        <f t="shared" si="46"/>
        <v>0</v>
      </c>
      <c r="AI85" s="5">
        <f t="shared" si="47"/>
        <v>5870000</v>
      </c>
    </row>
    <row r="86" spans="1:35" s="6" customFormat="1" ht="31.5" customHeight="1" x14ac:dyDescent="0.25">
      <c r="A86" s="71"/>
      <c r="B86" s="89"/>
      <c r="C86" s="25" t="s">
        <v>108</v>
      </c>
      <c r="D86" s="70"/>
      <c r="E86" s="56" t="s">
        <v>12</v>
      </c>
      <c r="F86" s="56" t="s">
        <v>12</v>
      </c>
      <c r="G86" s="56" t="s">
        <v>12</v>
      </c>
      <c r="H86" s="56" t="s">
        <v>12</v>
      </c>
      <c r="I86" s="1">
        <f t="shared" si="43"/>
        <v>15629223.810000001</v>
      </c>
      <c r="J86" s="1">
        <v>0</v>
      </c>
      <c r="K86" s="1">
        <v>0</v>
      </c>
      <c r="L86" s="1">
        <v>2313950.5099999998</v>
      </c>
      <c r="M86" s="4">
        <f>2980000+1201500-21452.19</f>
        <v>4160047.81</v>
      </c>
      <c r="N86" s="4">
        <v>2015225.49</v>
      </c>
      <c r="O86" s="4">
        <v>2380000</v>
      </c>
      <c r="P86" s="4">
        <v>2380000</v>
      </c>
      <c r="Q86" s="4">
        <v>2380000</v>
      </c>
      <c r="R86" s="5"/>
      <c r="AB86" s="4">
        <v>2980000</v>
      </c>
      <c r="AC86" s="5">
        <f t="shared" si="44"/>
        <v>-964774.51</v>
      </c>
      <c r="AD86" s="4">
        <v>2980000</v>
      </c>
      <c r="AE86" s="4">
        <v>2980000</v>
      </c>
      <c r="AF86" s="4">
        <v>0</v>
      </c>
      <c r="AG86" s="5">
        <f t="shared" si="45"/>
        <v>-600000</v>
      </c>
      <c r="AH86" s="5">
        <f t="shared" si="46"/>
        <v>-600000</v>
      </c>
      <c r="AI86" s="5">
        <f t="shared" si="47"/>
        <v>2380000</v>
      </c>
    </row>
    <row r="87" spans="1:35" s="6" customFormat="1" ht="31.5" customHeight="1" x14ac:dyDescent="0.25">
      <c r="A87" s="71"/>
      <c r="B87" s="89"/>
      <c r="C87" s="25" t="s">
        <v>109</v>
      </c>
      <c r="D87" s="70"/>
      <c r="E87" s="56" t="s">
        <v>12</v>
      </c>
      <c r="F87" s="56" t="s">
        <v>12</v>
      </c>
      <c r="G87" s="56" t="s">
        <v>12</v>
      </c>
      <c r="H87" s="56" t="s">
        <v>12</v>
      </c>
      <c r="I87" s="1">
        <f t="shared" si="43"/>
        <v>14998628.129999999</v>
      </c>
      <c r="J87" s="1">
        <v>0</v>
      </c>
      <c r="K87" s="1">
        <v>0</v>
      </c>
      <c r="L87" s="1">
        <v>1745553.65</v>
      </c>
      <c r="M87" s="1">
        <f>3510000-61796.27</f>
        <v>3448203.73</v>
      </c>
      <c r="N87" s="1">
        <v>1152870.75</v>
      </c>
      <c r="O87" s="1">
        <v>2884000</v>
      </c>
      <c r="P87" s="4">
        <v>2884000</v>
      </c>
      <c r="Q87" s="4">
        <v>2884000</v>
      </c>
      <c r="R87" s="5"/>
      <c r="AB87" s="1">
        <v>2262302.1800000002</v>
      </c>
      <c r="AC87" s="5">
        <f t="shared" si="44"/>
        <v>-1109431.4300000002</v>
      </c>
      <c r="AD87" s="1">
        <v>2884000</v>
      </c>
      <c r="AE87" s="4">
        <v>2884000</v>
      </c>
      <c r="AF87" s="4">
        <v>0</v>
      </c>
      <c r="AG87" s="5">
        <f t="shared" si="45"/>
        <v>0</v>
      </c>
      <c r="AH87" s="5">
        <f t="shared" si="46"/>
        <v>0</v>
      </c>
      <c r="AI87" s="5">
        <f t="shared" si="47"/>
        <v>2884000</v>
      </c>
    </row>
    <row r="88" spans="1:35" s="6" customFormat="1" ht="66.75" customHeight="1" x14ac:dyDescent="0.25">
      <c r="A88" s="67"/>
      <c r="B88" s="90"/>
      <c r="C88" s="24" t="s">
        <v>100</v>
      </c>
      <c r="D88" s="69"/>
      <c r="E88" s="56" t="s">
        <v>12</v>
      </c>
      <c r="F88" s="56" t="s">
        <v>12</v>
      </c>
      <c r="G88" s="56" t="s">
        <v>12</v>
      </c>
      <c r="H88" s="56" t="s">
        <v>50</v>
      </c>
      <c r="I88" s="1">
        <f t="shared" si="43"/>
        <v>9746439.9600000009</v>
      </c>
      <c r="J88" s="1">
        <v>0</v>
      </c>
      <c r="K88" s="1">
        <v>0</v>
      </c>
      <c r="L88" s="1">
        <f>980000+100000+208000+390000</f>
        <v>1678000</v>
      </c>
      <c r="M88" s="4">
        <v>2068439.96</v>
      </c>
      <c r="N88" s="4">
        <v>1500000</v>
      </c>
      <c r="O88" s="4">
        <v>1500000</v>
      </c>
      <c r="P88" s="4">
        <v>1500000</v>
      </c>
      <c r="Q88" s="4">
        <v>1500000</v>
      </c>
      <c r="R88" s="5"/>
      <c r="AB88" s="4">
        <v>1500000</v>
      </c>
      <c r="AC88" s="5">
        <f t="shared" si="44"/>
        <v>0</v>
      </c>
      <c r="AD88" s="4">
        <v>1500000</v>
      </c>
      <c r="AE88" s="4">
        <v>1500000</v>
      </c>
      <c r="AF88" s="4"/>
      <c r="AG88" s="5">
        <f t="shared" si="45"/>
        <v>0</v>
      </c>
      <c r="AH88" s="5">
        <f t="shared" si="46"/>
        <v>0</v>
      </c>
      <c r="AI88" s="5">
        <f t="shared" si="47"/>
        <v>1500000</v>
      </c>
    </row>
    <row r="89" spans="1:35" s="6" customFormat="1" ht="59.25" customHeight="1" x14ac:dyDescent="0.25">
      <c r="A89" s="85">
        <v>33</v>
      </c>
      <c r="B89" s="88" t="s">
        <v>88</v>
      </c>
      <c r="C89" s="56" t="s">
        <v>52</v>
      </c>
      <c r="D89" s="68" t="s">
        <v>8</v>
      </c>
      <c r="E89" s="56" t="s">
        <v>12</v>
      </c>
      <c r="F89" s="56" t="s">
        <v>12</v>
      </c>
      <c r="G89" s="56" t="s">
        <v>12</v>
      </c>
      <c r="H89" s="56" t="s">
        <v>12</v>
      </c>
      <c r="I89" s="1">
        <f t="shared" si="43"/>
        <v>29075607.950000003</v>
      </c>
      <c r="J89" s="1">
        <v>0</v>
      </c>
      <c r="K89" s="1">
        <v>0</v>
      </c>
      <c r="L89" s="1">
        <v>0</v>
      </c>
      <c r="M89" s="4">
        <f>M90+M91+M93+M92</f>
        <v>8032917.1000000006</v>
      </c>
      <c r="N89" s="4">
        <f>N90+N91+N93+N92</f>
        <v>2108157.85</v>
      </c>
      <c r="O89" s="4">
        <f>O90+O91+O93+O92</f>
        <v>6993533</v>
      </c>
      <c r="P89" s="4">
        <f>P90+P91+P93+P92</f>
        <v>5970500</v>
      </c>
      <c r="Q89" s="4">
        <f>Q90+Q91+Q93+Q92</f>
        <v>5970500</v>
      </c>
      <c r="R89" s="5"/>
      <c r="AB89" s="4">
        <f>AB90+AB91+AB93+AB92</f>
        <v>2584625</v>
      </c>
      <c r="AC89" s="5">
        <f t="shared" si="44"/>
        <v>-476467.14999999991</v>
      </c>
      <c r="AD89" s="4">
        <f>AD90+AD91+AD93+AD92</f>
        <v>8869480</v>
      </c>
      <c r="AE89" s="4">
        <f>AE90+AE91+AE93+AE92</f>
        <v>5400000</v>
      </c>
      <c r="AF89" s="4"/>
      <c r="AG89" s="5">
        <f t="shared" si="45"/>
        <v>-1875947</v>
      </c>
      <c r="AH89" s="5">
        <f t="shared" si="46"/>
        <v>570500</v>
      </c>
      <c r="AI89" s="5">
        <f t="shared" si="47"/>
        <v>5970500</v>
      </c>
    </row>
    <row r="90" spans="1:35" s="6" customFormat="1" ht="36.75" customHeight="1" x14ac:dyDescent="0.25">
      <c r="A90" s="86"/>
      <c r="B90" s="89"/>
      <c r="C90" s="25" t="s">
        <v>20</v>
      </c>
      <c r="D90" s="70"/>
      <c r="E90" s="56" t="s">
        <v>12</v>
      </c>
      <c r="F90" s="56" t="s">
        <v>12</v>
      </c>
      <c r="G90" s="56" t="s">
        <v>12</v>
      </c>
      <c r="H90" s="56" t="s">
        <v>12</v>
      </c>
      <c r="I90" s="1">
        <f t="shared" si="43"/>
        <v>6533566.8100000005</v>
      </c>
      <c r="J90" s="1">
        <v>0</v>
      </c>
      <c r="K90" s="1">
        <v>0</v>
      </c>
      <c r="L90" s="1">
        <v>0</v>
      </c>
      <c r="M90" s="4">
        <f>2000000-7063.38</f>
        <v>1992936.62</v>
      </c>
      <c r="N90" s="4">
        <f>272033-3435.81</f>
        <v>268597.19</v>
      </c>
      <c r="O90" s="4">
        <v>272033</v>
      </c>
      <c r="P90" s="4">
        <v>2000000</v>
      </c>
      <c r="Q90" s="4">
        <v>2000000</v>
      </c>
      <c r="R90" s="5"/>
      <c r="AB90" s="4">
        <v>272033</v>
      </c>
      <c r="AC90" s="5">
        <f t="shared" si="44"/>
        <v>-3435.8099999999977</v>
      </c>
      <c r="AD90" s="4">
        <v>2000000</v>
      </c>
      <c r="AE90" s="4">
        <v>2000000</v>
      </c>
      <c r="AF90" s="4"/>
      <c r="AG90" s="5">
        <f t="shared" si="45"/>
        <v>-1727967</v>
      </c>
      <c r="AH90" s="5">
        <f t="shared" si="46"/>
        <v>0</v>
      </c>
      <c r="AI90" s="5">
        <f t="shared" si="47"/>
        <v>2000000</v>
      </c>
    </row>
    <row r="91" spans="1:35" s="6" customFormat="1" ht="36.75" customHeight="1" x14ac:dyDescent="0.25">
      <c r="A91" s="86"/>
      <c r="B91" s="89"/>
      <c r="C91" s="25" t="s">
        <v>21</v>
      </c>
      <c r="D91" s="70"/>
      <c r="E91" s="56" t="s">
        <v>12</v>
      </c>
      <c r="F91" s="56" t="s">
        <v>12</v>
      </c>
      <c r="G91" s="56" t="s">
        <v>12</v>
      </c>
      <c r="H91" s="56" t="s">
        <v>12</v>
      </c>
      <c r="I91" s="1">
        <f t="shared" si="43"/>
        <v>7325543.4199999999</v>
      </c>
      <c r="J91" s="1">
        <v>0</v>
      </c>
      <c r="K91" s="1">
        <v>0</v>
      </c>
      <c r="L91" s="1">
        <v>0</v>
      </c>
      <c r="M91" s="4">
        <f>1300000-136264.12</f>
        <v>1163735.8799999999</v>
      </c>
      <c r="N91" s="4">
        <v>550307.54</v>
      </c>
      <c r="O91" s="4">
        <v>1870500</v>
      </c>
      <c r="P91" s="4">
        <v>1870500</v>
      </c>
      <c r="Q91" s="4">
        <v>1870500</v>
      </c>
      <c r="R91" s="5"/>
      <c r="AB91" s="4">
        <v>1022592</v>
      </c>
      <c r="AC91" s="5">
        <f t="shared" si="44"/>
        <v>-472284.45999999996</v>
      </c>
      <c r="AD91" s="4">
        <v>1969480</v>
      </c>
      <c r="AE91" s="4">
        <v>1300000</v>
      </c>
      <c r="AF91" s="4">
        <v>0</v>
      </c>
      <c r="AG91" s="5">
        <f t="shared" si="45"/>
        <v>-98980</v>
      </c>
      <c r="AH91" s="5">
        <f t="shared" si="46"/>
        <v>570500</v>
      </c>
      <c r="AI91" s="5">
        <f t="shared" si="47"/>
        <v>1870500</v>
      </c>
    </row>
    <row r="92" spans="1:35" s="6" customFormat="1" ht="36.75" customHeight="1" x14ac:dyDescent="0.25">
      <c r="A92" s="86"/>
      <c r="B92" s="89"/>
      <c r="C92" s="25" t="s">
        <v>44</v>
      </c>
      <c r="D92" s="70"/>
      <c r="E92" s="56" t="s">
        <v>12</v>
      </c>
      <c r="F92" s="56" t="s">
        <v>12</v>
      </c>
      <c r="G92" s="56" t="s">
        <v>12</v>
      </c>
      <c r="H92" s="56" t="s">
        <v>12</v>
      </c>
      <c r="I92" s="1">
        <f t="shared" si="43"/>
        <v>5544607.2000000002</v>
      </c>
      <c r="J92" s="1">
        <v>0</v>
      </c>
      <c r="K92" s="1">
        <v>0</v>
      </c>
      <c r="L92" s="1">
        <v>0</v>
      </c>
      <c r="M92" s="4">
        <f>2800000-6392.8</f>
        <v>2793607.2</v>
      </c>
      <c r="N92" s="4">
        <v>0</v>
      </c>
      <c r="O92" s="4">
        <v>2751000</v>
      </c>
      <c r="P92" s="4">
        <v>0</v>
      </c>
      <c r="Q92" s="4">
        <v>0</v>
      </c>
      <c r="R92" s="5"/>
      <c r="AB92" s="4">
        <v>0</v>
      </c>
      <c r="AC92" s="5">
        <f t="shared" si="44"/>
        <v>0</v>
      </c>
      <c r="AD92" s="4">
        <v>2800000</v>
      </c>
      <c r="AE92" s="4">
        <v>0</v>
      </c>
      <c r="AF92" s="4">
        <v>0</v>
      </c>
      <c r="AG92" s="5">
        <f t="shared" si="45"/>
        <v>-49000</v>
      </c>
      <c r="AH92" s="5">
        <f t="shared" si="46"/>
        <v>0</v>
      </c>
      <c r="AI92" s="5">
        <f t="shared" si="47"/>
        <v>0</v>
      </c>
    </row>
    <row r="93" spans="1:35" s="6" customFormat="1" ht="36.75" customHeight="1" x14ac:dyDescent="0.25">
      <c r="A93" s="87"/>
      <c r="B93" s="90"/>
      <c r="C93" s="25" t="s">
        <v>18</v>
      </c>
      <c r="D93" s="69"/>
      <c r="E93" s="56" t="s">
        <v>12</v>
      </c>
      <c r="F93" s="56" t="s">
        <v>12</v>
      </c>
      <c r="G93" s="56" t="s">
        <v>12</v>
      </c>
      <c r="H93" s="56" t="s">
        <v>12</v>
      </c>
      <c r="I93" s="1">
        <f t="shared" si="43"/>
        <v>9671890.5199999996</v>
      </c>
      <c r="J93" s="1">
        <v>0</v>
      </c>
      <c r="K93" s="1">
        <v>0</v>
      </c>
      <c r="L93" s="1">
        <v>0</v>
      </c>
      <c r="M93" s="4">
        <f>2100000-17362.6</f>
        <v>2082637.4</v>
      </c>
      <c r="N93" s="4">
        <v>1289253.1200000001</v>
      </c>
      <c r="O93" s="4">
        <v>2100000</v>
      </c>
      <c r="P93" s="4">
        <v>2100000</v>
      </c>
      <c r="Q93" s="4">
        <v>2100000</v>
      </c>
      <c r="R93" s="5"/>
      <c r="AB93" s="4">
        <v>1290000</v>
      </c>
      <c r="AC93" s="5">
        <f t="shared" si="44"/>
        <v>-746.87999999988824</v>
      </c>
      <c r="AD93" s="4">
        <v>2100000</v>
      </c>
      <c r="AE93" s="4">
        <v>2100000</v>
      </c>
      <c r="AF93" s="4"/>
      <c r="AG93" s="5">
        <f t="shared" si="45"/>
        <v>0</v>
      </c>
      <c r="AH93" s="5">
        <f t="shared" si="46"/>
        <v>0</v>
      </c>
      <c r="AI93" s="5">
        <f t="shared" si="47"/>
        <v>2100000</v>
      </c>
    </row>
    <row r="94" spans="1:35" s="6" customFormat="1" ht="54.75" customHeight="1" x14ac:dyDescent="0.25">
      <c r="A94" s="64">
        <v>34</v>
      </c>
      <c r="B94" s="65" t="s">
        <v>69</v>
      </c>
      <c r="C94" s="56" t="s">
        <v>52</v>
      </c>
      <c r="D94" s="56" t="s">
        <v>8</v>
      </c>
      <c r="E94" s="56" t="s">
        <v>12</v>
      </c>
      <c r="F94" s="56" t="s">
        <v>12</v>
      </c>
      <c r="G94" s="56" t="s">
        <v>12</v>
      </c>
      <c r="H94" s="56" t="s">
        <v>12</v>
      </c>
      <c r="I94" s="1">
        <f t="shared" si="43"/>
        <v>7198774.2699999996</v>
      </c>
      <c r="J94" s="1">
        <f>J95+J96+J98</f>
        <v>505600</v>
      </c>
      <c r="K94" s="1">
        <f>K95+K96+K98</f>
        <v>714169</v>
      </c>
      <c r="L94" s="1">
        <f>L99</f>
        <v>597927.74</v>
      </c>
      <c r="M94" s="1">
        <f>M99</f>
        <v>872530.56</v>
      </c>
      <c r="N94" s="1">
        <f>SUM(N95:N98)</f>
        <v>977147.97</v>
      </c>
      <c r="O94" s="1">
        <f>SUM(O95:O98)</f>
        <v>1177133</v>
      </c>
      <c r="P94" s="1">
        <f>SUM(P95:P98)</f>
        <v>1177133</v>
      </c>
      <c r="Q94" s="1">
        <f>SUM(Q95:Q98)</f>
        <v>1177133</v>
      </c>
      <c r="R94" s="5"/>
      <c r="AB94" s="1">
        <f>SUM(AB95:AB98)</f>
        <v>1177133</v>
      </c>
      <c r="AC94" s="5">
        <f t="shared" si="44"/>
        <v>-199985.03000000003</v>
      </c>
      <c r="AD94" s="1">
        <f>SUM(AD95:AD98)</f>
        <v>1078153</v>
      </c>
      <c r="AE94" s="1">
        <f>SUM(AE95:AE98)</f>
        <v>1078153</v>
      </c>
      <c r="AF94" s="1">
        <f>SUM(AF95:AF98)</f>
        <v>0</v>
      </c>
      <c r="AG94" s="5">
        <f t="shared" si="45"/>
        <v>98980</v>
      </c>
      <c r="AH94" s="5">
        <f t="shared" si="46"/>
        <v>98980</v>
      </c>
      <c r="AI94" s="5">
        <f t="shared" si="47"/>
        <v>1177133</v>
      </c>
    </row>
    <row r="95" spans="1:35" s="6" customFormat="1" ht="42" customHeight="1" x14ac:dyDescent="0.25">
      <c r="A95" s="64"/>
      <c r="B95" s="65"/>
      <c r="C95" s="56" t="s">
        <v>20</v>
      </c>
      <c r="D95" s="56" t="s">
        <v>8</v>
      </c>
      <c r="E95" s="56" t="s">
        <v>12</v>
      </c>
      <c r="F95" s="56" t="s">
        <v>12</v>
      </c>
      <c r="G95" s="56" t="s">
        <v>12</v>
      </c>
      <c r="H95" s="56" t="s">
        <v>12</v>
      </c>
      <c r="I95" s="1">
        <f t="shared" si="43"/>
        <v>726438</v>
      </c>
      <c r="J95" s="1">
        <f t="shared" ref="J95:Q95" si="48">J101</f>
        <v>52000</v>
      </c>
      <c r="K95" s="2">
        <f t="shared" si="48"/>
        <v>182000</v>
      </c>
      <c r="L95" s="2">
        <f t="shared" si="48"/>
        <v>82073</v>
      </c>
      <c r="M95" s="2">
        <f t="shared" si="48"/>
        <v>82073</v>
      </c>
      <c r="N95" s="2">
        <f t="shared" si="48"/>
        <v>82073</v>
      </c>
      <c r="O95" s="2">
        <f t="shared" si="48"/>
        <v>82073</v>
      </c>
      <c r="P95" s="2">
        <f t="shared" si="48"/>
        <v>82073</v>
      </c>
      <c r="Q95" s="2">
        <f t="shared" si="48"/>
        <v>82073</v>
      </c>
      <c r="R95" s="5"/>
      <c r="AB95" s="2">
        <f>AB101</f>
        <v>82073</v>
      </c>
      <c r="AC95" s="5">
        <f t="shared" si="44"/>
        <v>0</v>
      </c>
      <c r="AD95" s="2">
        <f t="shared" ref="AD95:AE95" si="49">AD101</f>
        <v>82073</v>
      </c>
      <c r="AE95" s="2">
        <f t="shared" si="49"/>
        <v>82073</v>
      </c>
      <c r="AF95" s="2"/>
      <c r="AG95" s="5">
        <f t="shared" si="45"/>
        <v>0</v>
      </c>
      <c r="AH95" s="5">
        <f t="shared" si="46"/>
        <v>0</v>
      </c>
      <c r="AI95" s="5">
        <f t="shared" si="47"/>
        <v>82073</v>
      </c>
    </row>
    <row r="96" spans="1:35" s="6" customFormat="1" ht="42" customHeight="1" x14ac:dyDescent="0.25">
      <c r="A96" s="64"/>
      <c r="B96" s="65"/>
      <c r="C96" s="56" t="s">
        <v>18</v>
      </c>
      <c r="D96" s="56" t="s">
        <v>8</v>
      </c>
      <c r="E96" s="56" t="s">
        <v>12</v>
      </c>
      <c r="F96" s="56" t="s">
        <v>12</v>
      </c>
      <c r="G96" s="56" t="s">
        <v>12</v>
      </c>
      <c r="H96" s="56" t="s">
        <v>12</v>
      </c>
      <c r="I96" s="1">
        <f t="shared" si="43"/>
        <v>3382980.91</v>
      </c>
      <c r="J96" s="1">
        <f>J103</f>
        <v>453600</v>
      </c>
      <c r="K96" s="1">
        <f>K103</f>
        <v>340069</v>
      </c>
      <c r="L96" s="1">
        <v>384834.91</v>
      </c>
      <c r="M96" s="1">
        <f>M103</f>
        <v>433000</v>
      </c>
      <c r="N96" s="1">
        <f>N103</f>
        <v>409237</v>
      </c>
      <c r="O96" s="1">
        <f>O103</f>
        <v>454080</v>
      </c>
      <c r="P96" s="1">
        <f>P103</f>
        <v>454080</v>
      </c>
      <c r="Q96" s="1">
        <f>Q103</f>
        <v>454080</v>
      </c>
      <c r="R96" s="5"/>
      <c r="AB96" s="1">
        <f>AB103</f>
        <v>454080</v>
      </c>
      <c r="AC96" s="5">
        <f t="shared" si="44"/>
        <v>-44843</v>
      </c>
      <c r="AD96" s="1">
        <f>AD103</f>
        <v>454080</v>
      </c>
      <c r="AE96" s="1">
        <f>AE103</f>
        <v>454080</v>
      </c>
      <c r="AF96" s="1"/>
      <c r="AG96" s="5">
        <f t="shared" si="45"/>
        <v>0</v>
      </c>
      <c r="AH96" s="5">
        <f t="shared" si="46"/>
        <v>0</v>
      </c>
      <c r="AI96" s="5">
        <f t="shared" si="47"/>
        <v>454080</v>
      </c>
    </row>
    <row r="97" spans="1:35" s="6" customFormat="1" ht="42" customHeight="1" x14ac:dyDescent="0.25">
      <c r="A97" s="64"/>
      <c r="B97" s="65"/>
      <c r="C97" s="56" t="s">
        <v>51</v>
      </c>
      <c r="D97" s="56" t="s">
        <v>8</v>
      </c>
      <c r="E97" s="56" t="s">
        <v>12</v>
      </c>
      <c r="F97" s="56" t="s">
        <v>12</v>
      </c>
      <c r="G97" s="56" t="s">
        <v>12</v>
      </c>
      <c r="H97" s="56" t="s">
        <v>12</v>
      </c>
      <c r="I97" s="1">
        <f t="shared" si="43"/>
        <v>1274249.95</v>
      </c>
      <c r="J97" s="1">
        <v>0</v>
      </c>
      <c r="K97" s="2">
        <v>0</v>
      </c>
      <c r="L97" s="2">
        <f t="shared" ref="L97:Q97" si="50">L102</f>
        <v>0</v>
      </c>
      <c r="M97" s="2">
        <f t="shared" si="50"/>
        <v>51973</v>
      </c>
      <c r="N97" s="1">
        <f t="shared" si="50"/>
        <v>199336.95</v>
      </c>
      <c r="O97" s="2">
        <f t="shared" si="50"/>
        <v>340980</v>
      </c>
      <c r="P97" s="2">
        <f t="shared" si="50"/>
        <v>340980</v>
      </c>
      <c r="Q97" s="2">
        <f t="shared" si="50"/>
        <v>340980</v>
      </c>
      <c r="R97" s="5"/>
      <c r="AB97" s="2">
        <f>AB102</f>
        <v>340980</v>
      </c>
      <c r="AC97" s="5">
        <f t="shared" si="44"/>
        <v>-141643.04999999999</v>
      </c>
      <c r="AD97" s="2">
        <v>242000</v>
      </c>
      <c r="AE97" s="2">
        <v>242000</v>
      </c>
      <c r="AF97" s="2"/>
      <c r="AG97" s="5">
        <f t="shared" si="45"/>
        <v>98980</v>
      </c>
      <c r="AH97" s="5">
        <f t="shared" si="46"/>
        <v>98980</v>
      </c>
      <c r="AI97" s="5">
        <f t="shared" si="47"/>
        <v>340980</v>
      </c>
    </row>
    <row r="98" spans="1:35" s="6" customFormat="1" ht="42" customHeight="1" x14ac:dyDescent="0.25">
      <c r="A98" s="64"/>
      <c r="B98" s="65"/>
      <c r="C98" s="56" t="s">
        <v>36</v>
      </c>
      <c r="D98" s="56" t="s">
        <v>8</v>
      </c>
      <c r="E98" s="56" t="s">
        <v>12</v>
      </c>
      <c r="F98" s="56" t="s">
        <v>12</v>
      </c>
      <c r="G98" s="56" t="s">
        <v>12</v>
      </c>
      <c r="H98" s="56" t="s">
        <v>12</v>
      </c>
      <c r="I98" s="1">
        <f t="shared" si="43"/>
        <v>1815105.4100000001</v>
      </c>
      <c r="J98" s="1">
        <f t="shared" ref="J98:Q98" si="51">J104</f>
        <v>0</v>
      </c>
      <c r="K98" s="1">
        <f t="shared" si="51"/>
        <v>192100</v>
      </c>
      <c r="L98" s="1">
        <f t="shared" si="51"/>
        <v>131019.83</v>
      </c>
      <c r="M98" s="1">
        <f t="shared" si="51"/>
        <v>305484.56</v>
      </c>
      <c r="N98" s="1">
        <f t="shared" si="51"/>
        <v>286501.02</v>
      </c>
      <c r="O98" s="1">
        <f t="shared" si="51"/>
        <v>300000</v>
      </c>
      <c r="P98" s="1">
        <f t="shared" si="51"/>
        <v>300000</v>
      </c>
      <c r="Q98" s="1">
        <f t="shared" si="51"/>
        <v>300000</v>
      </c>
      <c r="R98" s="5"/>
      <c r="AB98" s="1">
        <f>AB104</f>
        <v>300000</v>
      </c>
      <c r="AC98" s="5">
        <f t="shared" si="44"/>
        <v>-13498.979999999981</v>
      </c>
      <c r="AD98" s="1">
        <f t="shared" ref="AD98:AE98" si="52">AD104</f>
        <v>300000</v>
      </c>
      <c r="AE98" s="1">
        <f t="shared" si="52"/>
        <v>300000</v>
      </c>
      <c r="AF98" s="1"/>
      <c r="AG98" s="5">
        <f t="shared" si="45"/>
        <v>0</v>
      </c>
      <c r="AH98" s="5">
        <f t="shared" si="46"/>
        <v>0</v>
      </c>
      <c r="AI98" s="5">
        <f t="shared" si="47"/>
        <v>300000</v>
      </c>
    </row>
    <row r="99" spans="1:35" s="6" customFormat="1" ht="41.25" customHeight="1" x14ac:dyDescent="0.25">
      <c r="A99" s="64">
        <v>35</v>
      </c>
      <c r="B99" s="65" t="s">
        <v>70</v>
      </c>
      <c r="C99" s="56" t="s">
        <v>102</v>
      </c>
      <c r="D99" s="56" t="s">
        <v>8</v>
      </c>
      <c r="E99" s="56" t="s">
        <v>12</v>
      </c>
      <c r="F99" s="56" t="s">
        <v>12</v>
      </c>
      <c r="G99" s="56" t="s">
        <v>12</v>
      </c>
      <c r="H99" s="56" t="s">
        <v>12</v>
      </c>
      <c r="I99" s="1">
        <f t="shared" si="43"/>
        <v>7198774.2699999996</v>
      </c>
      <c r="J99" s="1">
        <f>J101+J103+J104</f>
        <v>505600</v>
      </c>
      <c r="K99" s="1">
        <f>K101+K103+K104</f>
        <v>714169</v>
      </c>
      <c r="L99" s="1">
        <f t="shared" ref="L99:Q99" si="53">L101+L103+L104+L102</f>
        <v>597927.74</v>
      </c>
      <c r="M99" s="1">
        <f t="shared" si="53"/>
        <v>872530.56</v>
      </c>
      <c r="N99" s="1">
        <f t="shared" si="53"/>
        <v>977147.97</v>
      </c>
      <c r="O99" s="1">
        <f t="shared" si="53"/>
        <v>1177133</v>
      </c>
      <c r="P99" s="1">
        <f t="shared" si="53"/>
        <v>1177133</v>
      </c>
      <c r="Q99" s="1">
        <f t="shared" si="53"/>
        <v>1177133</v>
      </c>
      <c r="R99" s="5"/>
      <c r="AB99" s="1">
        <f>AB101+AB103+AB104+AB102</f>
        <v>1177133</v>
      </c>
      <c r="AC99" s="5">
        <f t="shared" si="44"/>
        <v>-199985.03000000003</v>
      </c>
      <c r="AD99" s="1">
        <f t="shared" ref="AD99:AF99" si="54">AD101+AD103+AD104+AD102</f>
        <v>1078153</v>
      </c>
      <c r="AE99" s="1">
        <f t="shared" si="54"/>
        <v>1078153</v>
      </c>
      <c r="AF99" s="1">
        <f t="shared" si="54"/>
        <v>0</v>
      </c>
      <c r="AG99" s="5">
        <f t="shared" si="45"/>
        <v>98980</v>
      </c>
      <c r="AH99" s="5">
        <f t="shared" si="46"/>
        <v>98980</v>
      </c>
      <c r="AI99" s="5">
        <f t="shared" si="47"/>
        <v>1177133</v>
      </c>
    </row>
    <row r="100" spans="1:35" s="6" customFormat="1" ht="24" customHeight="1" x14ac:dyDescent="0.25">
      <c r="A100" s="64"/>
      <c r="B100" s="65"/>
      <c r="C100" s="56" t="s">
        <v>25</v>
      </c>
      <c r="D100" s="104"/>
      <c r="E100" s="105"/>
      <c r="F100" s="105"/>
      <c r="G100" s="105"/>
      <c r="H100" s="105"/>
      <c r="I100" s="105"/>
      <c r="J100" s="105"/>
      <c r="K100" s="105"/>
      <c r="L100" s="105"/>
      <c r="M100" s="105"/>
      <c r="N100" s="106"/>
      <c r="O100" s="4"/>
      <c r="P100" s="4"/>
      <c r="Q100" s="4"/>
      <c r="R100" s="5"/>
      <c r="AC100" s="5">
        <f t="shared" si="44"/>
        <v>0</v>
      </c>
      <c r="AD100" s="4"/>
      <c r="AE100" s="4"/>
      <c r="AF100" s="4"/>
      <c r="AG100" s="5">
        <f t="shared" si="45"/>
        <v>0</v>
      </c>
      <c r="AH100" s="5">
        <f t="shared" si="46"/>
        <v>0</v>
      </c>
      <c r="AI100" s="5">
        <f t="shared" si="47"/>
        <v>0</v>
      </c>
    </row>
    <row r="101" spans="1:35" s="6" customFormat="1" ht="42.75" customHeight="1" x14ac:dyDescent="0.25">
      <c r="A101" s="64"/>
      <c r="B101" s="65"/>
      <c r="C101" s="56" t="s">
        <v>20</v>
      </c>
      <c r="D101" s="56" t="s">
        <v>8</v>
      </c>
      <c r="E101" s="56" t="s">
        <v>12</v>
      </c>
      <c r="F101" s="56" t="s">
        <v>12</v>
      </c>
      <c r="G101" s="56" t="s">
        <v>12</v>
      </c>
      <c r="H101" s="56" t="s">
        <v>12</v>
      </c>
      <c r="I101" s="1">
        <f t="shared" ref="I101:I106" si="55">J101+K101+L101+M101+N101+O101+P101+Q101</f>
        <v>726438</v>
      </c>
      <c r="J101" s="1">
        <v>52000</v>
      </c>
      <c r="K101" s="2">
        <f>252000-70000</f>
        <v>182000</v>
      </c>
      <c r="L101" s="2">
        <v>82073</v>
      </c>
      <c r="M101" s="3">
        <f>L101</f>
        <v>82073</v>
      </c>
      <c r="N101" s="2">
        <v>82073</v>
      </c>
      <c r="O101" s="2">
        <v>82073</v>
      </c>
      <c r="P101" s="4">
        <v>82073</v>
      </c>
      <c r="Q101" s="4">
        <v>82073</v>
      </c>
      <c r="R101" s="5"/>
      <c r="AB101" s="2">
        <v>82073</v>
      </c>
      <c r="AC101" s="5">
        <f t="shared" si="44"/>
        <v>0</v>
      </c>
      <c r="AD101" s="2">
        <v>82073</v>
      </c>
      <c r="AE101" s="4">
        <v>82073</v>
      </c>
      <c r="AF101" s="4"/>
      <c r="AG101" s="5">
        <f t="shared" si="45"/>
        <v>0</v>
      </c>
      <c r="AH101" s="5">
        <f t="shared" si="46"/>
        <v>0</v>
      </c>
      <c r="AI101" s="5">
        <f t="shared" si="47"/>
        <v>82073</v>
      </c>
    </row>
    <row r="102" spans="1:35" s="6" customFormat="1" ht="42.75" customHeight="1" x14ac:dyDescent="0.25">
      <c r="A102" s="64"/>
      <c r="B102" s="65"/>
      <c r="C102" s="56" t="s">
        <v>51</v>
      </c>
      <c r="D102" s="56" t="s">
        <v>8</v>
      </c>
      <c r="E102" s="56" t="s">
        <v>12</v>
      </c>
      <c r="F102" s="56" t="s">
        <v>12</v>
      </c>
      <c r="G102" s="56" t="s">
        <v>12</v>
      </c>
      <c r="H102" s="56" t="s">
        <v>12</v>
      </c>
      <c r="I102" s="1">
        <f t="shared" si="55"/>
        <v>1274249.95</v>
      </c>
      <c r="J102" s="1">
        <v>0</v>
      </c>
      <c r="K102" s="2">
        <v>0</v>
      </c>
      <c r="L102" s="2">
        <v>0</v>
      </c>
      <c r="M102" s="3">
        <f>91480-39507</f>
        <v>51973</v>
      </c>
      <c r="N102" s="2">
        <v>199336.95</v>
      </c>
      <c r="O102" s="3">
        <v>340980</v>
      </c>
      <c r="P102" s="4">
        <v>340980</v>
      </c>
      <c r="Q102" s="4">
        <v>340980</v>
      </c>
      <c r="R102" s="5"/>
      <c r="AB102" s="3">
        <v>340980</v>
      </c>
      <c r="AC102" s="5">
        <f t="shared" si="44"/>
        <v>-141643.04999999999</v>
      </c>
      <c r="AD102" s="2">
        <v>242000</v>
      </c>
      <c r="AE102" s="2">
        <v>242000</v>
      </c>
      <c r="AF102" s="4"/>
      <c r="AG102" s="5">
        <f t="shared" si="45"/>
        <v>98980</v>
      </c>
      <c r="AH102" s="5">
        <f t="shared" si="46"/>
        <v>98980</v>
      </c>
      <c r="AI102" s="5">
        <f t="shared" si="47"/>
        <v>340980</v>
      </c>
    </row>
    <row r="103" spans="1:35" s="6" customFormat="1" ht="42.75" customHeight="1" x14ac:dyDescent="0.25">
      <c r="A103" s="64"/>
      <c r="B103" s="65"/>
      <c r="C103" s="56" t="s">
        <v>18</v>
      </c>
      <c r="D103" s="56" t="s">
        <v>8</v>
      </c>
      <c r="E103" s="56" t="s">
        <v>12</v>
      </c>
      <c r="F103" s="56" t="s">
        <v>12</v>
      </c>
      <c r="G103" s="56" t="s">
        <v>12</v>
      </c>
      <c r="H103" s="56" t="s">
        <v>12</v>
      </c>
      <c r="I103" s="1">
        <f t="shared" si="55"/>
        <v>3382980.91</v>
      </c>
      <c r="J103" s="1">
        <v>453600</v>
      </c>
      <c r="K103" s="2">
        <f>361600-37731+16200</f>
        <v>340069</v>
      </c>
      <c r="L103" s="1">
        <v>384834.91</v>
      </c>
      <c r="M103" s="3">
        <f>454114-21114</f>
        <v>433000</v>
      </c>
      <c r="N103" s="3">
        <v>409237</v>
      </c>
      <c r="O103" s="3">
        <v>454080</v>
      </c>
      <c r="P103" s="4">
        <v>454080</v>
      </c>
      <c r="Q103" s="4">
        <v>454080</v>
      </c>
      <c r="R103" s="5"/>
      <c r="AB103" s="3">
        <v>454080</v>
      </c>
      <c r="AC103" s="5">
        <f t="shared" si="44"/>
        <v>-44843</v>
      </c>
      <c r="AD103" s="3">
        <v>454080</v>
      </c>
      <c r="AE103" s="4">
        <v>454080</v>
      </c>
      <c r="AF103" s="4"/>
      <c r="AG103" s="5">
        <f t="shared" si="45"/>
        <v>0</v>
      </c>
      <c r="AH103" s="5">
        <f t="shared" si="46"/>
        <v>0</v>
      </c>
      <c r="AI103" s="5">
        <f t="shared" si="47"/>
        <v>454080</v>
      </c>
    </row>
    <row r="104" spans="1:35" s="6" customFormat="1" ht="42.75" customHeight="1" x14ac:dyDescent="0.25">
      <c r="A104" s="64"/>
      <c r="B104" s="65"/>
      <c r="C104" s="56" t="s">
        <v>19</v>
      </c>
      <c r="D104" s="56" t="s">
        <v>8</v>
      </c>
      <c r="E104" s="56" t="s">
        <v>12</v>
      </c>
      <c r="F104" s="56" t="s">
        <v>12</v>
      </c>
      <c r="G104" s="56" t="s">
        <v>12</v>
      </c>
      <c r="H104" s="56" t="s">
        <v>12</v>
      </c>
      <c r="I104" s="1">
        <f t="shared" si="55"/>
        <v>1815105.4100000001</v>
      </c>
      <c r="J104" s="1">
        <v>0</v>
      </c>
      <c r="K104" s="2">
        <f>229000-33800-3100</f>
        <v>192100</v>
      </c>
      <c r="L104" s="2">
        <f>200000-68980.17</f>
        <v>131019.83</v>
      </c>
      <c r="M104" s="3">
        <f>300000+5484.56</f>
        <v>305484.56</v>
      </c>
      <c r="N104" s="3">
        <v>286501.02</v>
      </c>
      <c r="O104" s="3">
        <v>300000</v>
      </c>
      <c r="P104" s="4">
        <v>300000</v>
      </c>
      <c r="Q104" s="4">
        <v>300000</v>
      </c>
      <c r="R104" s="5"/>
      <c r="AB104" s="3">
        <v>300000</v>
      </c>
      <c r="AC104" s="5">
        <f t="shared" si="44"/>
        <v>-13498.979999999981</v>
      </c>
      <c r="AD104" s="3">
        <v>300000</v>
      </c>
      <c r="AE104" s="4">
        <v>300000</v>
      </c>
      <c r="AF104" s="4"/>
      <c r="AG104" s="5">
        <f t="shared" si="45"/>
        <v>0</v>
      </c>
      <c r="AH104" s="5">
        <f t="shared" si="46"/>
        <v>0</v>
      </c>
      <c r="AI104" s="5">
        <f t="shared" si="47"/>
        <v>300000</v>
      </c>
    </row>
    <row r="105" spans="1:35" s="6" customFormat="1" ht="42.75" customHeight="1" x14ac:dyDescent="0.25">
      <c r="A105" s="59">
        <v>36</v>
      </c>
      <c r="B105" s="57" t="s">
        <v>29</v>
      </c>
      <c r="C105" s="56"/>
      <c r="D105" s="56" t="s">
        <v>8</v>
      </c>
      <c r="E105" s="56" t="s">
        <v>12</v>
      </c>
      <c r="F105" s="56" t="s">
        <v>12</v>
      </c>
      <c r="G105" s="56" t="s">
        <v>12</v>
      </c>
      <c r="H105" s="56" t="s">
        <v>12</v>
      </c>
      <c r="I105" s="1">
        <f t="shared" si="55"/>
        <v>7198774.2699999996</v>
      </c>
      <c r="J105" s="1">
        <f t="shared" ref="J105:Q105" si="56">J94</f>
        <v>505600</v>
      </c>
      <c r="K105" s="1">
        <f t="shared" si="56"/>
        <v>714169</v>
      </c>
      <c r="L105" s="1">
        <f t="shared" si="56"/>
        <v>597927.74</v>
      </c>
      <c r="M105" s="4">
        <f t="shared" si="56"/>
        <v>872530.56</v>
      </c>
      <c r="N105" s="4">
        <f>N94</f>
        <v>977147.97</v>
      </c>
      <c r="O105" s="4">
        <f t="shared" si="56"/>
        <v>1177133</v>
      </c>
      <c r="P105" s="4">
        <f t="shared" si="56"/>
        <v>1177133</v>
      </c>
      <c r="Q105" s="4">
        <f t="shared" si="56"/>
        <v>1177133</v>
      </c>
      <c r="R105" s="5"/>
      <c r="AB105" s="4">
        <f>AB94</f>
        <v>1177133</v>
      </c>
      <c r="AC105" s="5">
        <f t="shared" si="44"/>
        <v>-199985.03000000003</v>
      </c>
      <c r="AD105" s="4">
        <f t="shared" ref="AD105:AF105" si="57">AD94</f>
        <v>1078153</v>
      </c>
      <c r="AE105" s="4">
        <f t="shared" si="57"/>
        <v>1078153</v>
      </c>
      <c r="AF105" s="4">
        <f t="shared" si="57"/>
        <v>0</v>
      </c>
      <c r="AG105" s="5">
        <f t="shared" si="45"/>
        <v>98980</v>
      </c>
      <c r="AH105" s="5">
        <f t="shared" si="46"/>
        <v>98980</v>
      </c>
      <c r="AI105" s="5">
        <f t="shared" si="47"/>
        <v>1177133</v>
      </c>
    </row>
    <row r="106" spans="1:35" s="6" customFormat="1" ht="42.75" customHeight="1" x14ac:dyDescent="0.25">
      <c r="A106" s="59">
        <v>37</v>
      </c>
      <c r="B106" s="57" t="s">
        <v>23</v>
      </c>
      <c r="C106" s="56"/>
      <c r="D106" s="56"/>
      <c r="E106" s="56" t="s">
        <v>12</v>
      </c>
      <c r="F106" s="56" t="s">
        <v>12</v>
      </c>
      <c r="G106" s="56" t="s">
        <v>12</v>
      </c>
      <c r="H106" s="56" t="s">
        <v>12</v>
      </c>
      <c r="I106" s="1">
        <f t="shared" si="55"/>
        <v>3909615827.9299998</v>
      </c>
      <c r="J106" s="1">
        <f>J105+J46+J48</f>
        <v>379094629.33999997</v>
      </c>
      <c r="K106" s="1">
        <f>K105+K46+K48</f>
        <v>430042865.21000004</v>
      </c>
      <c r="L106" s="1">
        <f>L105+L48+L46</f>
        <v>461001041.55000001</v>
      </c>
      <c r="M106" s="1">
        <f>M105+M48+M49</f>
        <v>553822733.95000005</v>
      </c>
      <c r="N106" s="1">
        <f>N105+N48+N49+N50</f>
        <v>528343340.45000005</v>
      </c>
      <c r="O106" s="1">
        <f>O105+O48+O49</f>
        <v>482073643.87</v>
      </c>
      <c r="P106" s="1">
        <f>P105+P48+P49</f>
        <v>540074663.5</v>
      </c>
      <c r="Q106" s="1">
        <f>Q105+Q48+Q49</f>
        <v>535162910.06</v>
      </c>
      <c r="R106" s="5"/>
      <c r="AB106" s="1">
        <f>AB105+AB48+AB49+AB50</f>
        <v>524103334.12</v>
      </c>
      <c r="AC106" s="5">
        <f t="shared" si="44"/>
        <v>4240006.3300000429</v>
      </c>
      <c r="AD106" s="1">
        <f>AD105+AD48+AD49</f>
        <v>533757959.87</v>
      </c>
      <c r="AE106" s="1">
        <f>AE105+AE48+AE49</f>
        <v>530957959.87</v>
      </c>
      <c r="AF106" s="1"/>
      <c r="AG106" s="5">
        <f t="shared" si="45"/>
        <v>-51684316</v>
      </c>
      <c r="AH106" s="5">
        <f t="shared" si="46"/>
        <v>9116703.6299999952</v>
      </c>
      <c r="AI106" s="5">
        <f t="shared" si="47"/>
        <v>535162910.06</v>
      </c>
    </row>
    <row r="107" spans="1:35" s="6" customFormat="1" ht="21" customHeight="1" x14ac:dyDescent="0.25">
      <c r="A107" s="59">
        <v>38</v>
      </c>
      <c r="B107" s="57" t="s">
        <v>25</v>
      </c>
      <c r="C107" s="56"/>
      <c r="D107" s="56"/>
      <c r="E107" s="56"/>
      <c r="F107" s="56"/>
      <c r="G107" s="56"/>
      <c r="H107" s="56"/>
      <c r="I107" s="1"/>
      <c r="J107" s="56"/>
      <c r="K107" s="56"/>
      <c r="L107" s="56"/>
      <c r="M107" s="8"/>
      <c r="N107" s="9"/>
      <c r="O107" s="4"/>
      <c r="P107" s="4"/>
      <c r="Q107" s="4"/>
      <c r="R107" s="5"/>
      <c r="AB107" s="9"/>
      <c r="AC107" s="5">
        <f t="shared" si="44"/>
        <v>0</v>
      </c>
      <c r="AD107" s="4"/>
      <c r="AE107" s="4"/>
      <c r="AF107" s="4"/>
      <c r="AG107" s="5">
        <f t="shared" si="45"/>
        <v>0</v>
      </c>
      <c r="AH107" s="5">
        <f t="shared" si="46"/>
        <v>0</v>
      </c>
      <c r="AI107" s="5">
        <f t="shared" si="47"/>
        <v>0</v>
      </c>
    </row>
    <row r="108" spans="1:35" s="6" customFormat="1" ht="39.75" customHeight="1" x14ac:dyDescent="0.25">
      <c r="A108" s="59">
        <v>39</v>
      </c>
      <c r="B108" s="57" t="s">
        <v>8</v>
      </c>
      <c r="C108" s="56"/>
      <c r="D108" s="56"/>
      <c r="E108" s="56" t="s">
        <v>12</v>
      </c>
      <c r="F108" s="56" t="s">
        <v>12</v>
      </c>
      <c r="G108" s="56" t="s">
        <v>12</v>
      </c>
      <c r="H108" s="56" t="s">
        <v>12</v>
      </c>
      <c r="I108" s="1">
        <f>J108+K108+L108+M108+N108+O108+P108+Q108</f>
        <v>3716115922.23</v>
      </c>
      <c r="J108" s="1">
        <f t="shared" ref="J108:N109" si="58">J45</f>
        <v>372889129.33999997</v>
      </c>
      <c r="K108" s="1">
        <f t="shared" si="58"/>
        <v>424396537.21000004</v>
      </c>
      <c r="L108" s="1">
        <f t="shared" si="58"/>
        <v>452889558.25</v>
      </c>
      <c r="M108" s="4">
        <f t="shared" si="58"/>
        <v>512472449.95000005</v>
      </c>
      <c r="N108" s="4">
        <f t="shared" si="58"/>
        <v>489229392.56000006</v>
      </c>
      <c r="O108" s="4">
        <f t="shared" ref="O108:Q109" si="59">O45</f>
        <v>448791444.84000003</v>
      </c>
      <c r="P108" s="4">
        <f t="shared" si="59"/>
        <v>507522705.04000002</v>
      </c>
      <c r="Q108" s="4">
        <f t="shared" si="59"/>
        <v>507924705.04000002</v>
      </c>
      <c r="R108" s="5"/>
      <c r="V108" s="45">
        <f t="shared" ref="V108:X110" si="60">N48+N94</f>
        <v>489229392.56000006</v>
      </c>
      <c r="W108" s="45">
        <f t="shared" si="60"/>
        <v>448791444.84000003</v>
      </c>
      <c r="X108" s="45">
        <f t="shared" si="60"/>
        <v>507522705.04000002</v>
      </c>
      <c r="AB108" s="4">
        <f>AB45</f>
        <v>484989386.23000002</v>
      </c>
      <c r="AC108" s="5">
        <f t="shared" si="44"/>
        <v>4240006.3300000429</v>
      </c>
      <c r="AD108" s="4">
        <f t="shared" ref="AD108:AE108" si="61">AD45</f>
        <v>495228432.63</v>
      </c>
      <c r="AE108" s="4">
        <f t="shared" si="61"/>
        <v>492428432.63</v>
      </c>
      <c r="AF108" s="4"/>
      <c r="AG108" s="5">
        <f t="shared" si="45"/>
        <v>-46436987.789999962</v>
      </c>
      <c r="AH108" s="5">
        <f t="shared" si="46"/>
        <v>15094272.410000026</v>
      </c>
      <c r="AI108" s="5">
        <f t="shared" si="47"/>
        <v>507924705.04000002</v>
      </c>
    </row>
    <row r="109" spans="1:35" s="6" customFormat="1" ht="39.75" customHeight="1" x14ac:dyDescent="0.25">
      <c r="A109" s="59">
        <v>40</v>
      </c>
      <c r="B109" s="57" t="s">
        <v>31</v>
      </c>
      <c r="C109" s="56"/>
      <c r="D109" s="56"/>
      <c r="E109" s="56" t="s">
        <v>12</v>
      </c>
      <c r="F109" s="56" t="s">
        <v>12</v>
      </c>
      <c r="G109" s="56" t="s">
        <v>12</v>
      </c>
      <c r="H109" s="56" t="s">
        <v>12</v>
      </c>
      <c r="I109" s="1">
        <f>J109+K109+L109+M109+N109+O109+P109+Q109</f>
        <v>193006023.70000002</v>
      </c>
      <c r="J109" s="1">
        <f t="shared" si="58"/>
        <v>6205500</v>
      </c>
      <c r="K109" s="1">
        <f t="shared" si="58"/>
        <v>5646328</v>
      </c>
      <c r="L109" s="1">
        <f t="shared" si="58"/>
        <v>8111483.2999999998</v>
      </c>
      <c r="M109" s="4">
        <f t="shared" si="58"/>
        <v>41350284</v>
      </c>
      <c r="N109" s="4">
        <f t="shared" si="58"/>
        <v>38620065.890000001</v>
      </c>
      <c r="O109" s="4">
        <f t="shared" si="59"/>
        <v>33282199.030000001</v>
      </c>
      <c r="P109" s="4">
        <f t="shared" si="59"/>
        <v>32551958.460000001</v>
      </c>
      <c r="Q109" s="4">
        <f t="shared" si="59"/>
        <v>27238205.02</v>
      </c>
      <c r="R109" s="5"/>
      <c r="V109" s="45">
        <f t="shared" si="60"/>
        <v>38702138.890000001</v>
      </c>
      <c r="W109" s="45">
        <f t="shared" si="60"/>
        <v>33364272.030000001</v>
      </c>
      <c r="X109" s="45">
        <f t="shared" si="60"/>
        <v>32634031.460000001</v>
      </c>
      <c r="AB109" s="4">
        <f>AB46</f>
        <v>38620065.890000001</v>
      </c>
      <c r="AC109" s="5">
        <f t="shared" si="44"/>
        <v>0</v>
      </c>
      <c r="AD109" s="4">
        <f t="shared" ref="AD109:AF109" si="62">AD46</f>
        <v>38529527.240000002</v>
      </c>
      <c r="AE109" s="4">
        <f t="shared" si="62"/>
        <v>38529527.240000002</v>
      </c>
      <c r="AF109" s="4">
        <f t="shared" si="62"/>
        <v>0</v>
      </c>
      <c r="AG109" s="5">
        <f t="shared" si="45"/>
        <v>-5247328.2100000009</v>
      </c>
      <c r="AH109" s="5">
        <f t="shared" si="46"/>
        <v>-5977568.7800000012</v>
      </c>
      <c r="AI109" s="5">
        <f t="shared" si="47"/>
        <v>27238205.02</v>
      </c>
    </row>
    <row r="110" spans="1:35" s="6" customFormat="1" ht="39.75" customHeight="1" x14ac:dyDescent="0.25">
      <c r="A110" s="36">
        <v>41</v>
      </c>
      <c r="B110" s="57" t="s">
        <v>40</v>
      </c>
      <c r="C110" s="56"/>
      <c r="D110" s="56"/>
      <c r="E110" s="56" t="s">
        <v>12</v>
      </c>
      <c r="F110" s="56" t="s">
        <v>12</v>
      </c>
      <c r="G110" s="56" t="s">
        <v>12</v>
      </c>
      <c r="H110" s="56" t="s">
        <v>12</v>
      </c>
      <c r="I110" s="1">
        <f>J110+K110+L110+M110+N110+O110+P110+Q110</f>
        <v>493882</v>
      </c>
      <c r="J110" s="1">
        <v>0</v>
      </c>
      <c r="K110" s="1">
        <v>0</v>
      </c>
      <c r="L110" s="1">
        <v>0</v>
      </c>
      <c r="M110" s="4">
        <v>0</v>
      </c>
      <c r="N110" s="4">
        <f>N50</f>
        <v>493882</v>
      </c>
      <c r="O110" s="4">
        <f>O50</f>
        <v>0</v>
      </c>
      <c r="P110" s="4">
        <f>P50</f>
        <v>0</v>
      </c>
      <c r="Q110" s="4">
        <f>Q50</f>
        <v>0</v>
      </c>
      <c r="R110" s="5"/>
      <c r="V110" s="45">
        <f t="shared" si="60"/>
        <v>903119</v>
      </c>
      <c r="W110" s="45">
        <f t="shared" si="60"/>
        <v>454080</v>
      </c>
      <c r="X110" s="45">
        <f t="shared" si="60"/>
        <v>454080</v>
      </c>
      <c r="AB110" s="4">
        <f>AB50</f>
        <v>493882</v>
      </c>
      <c r="AC110" s="5">
        <f t="shared" si="44"/>
        <v>0</v>
      </c>
      <c r="AD110" s="4">
        <f>AD50</f>
        <v>0</v>
      </c>
      <c r="AE110" s="4">
        <f>AE50</f>
        <v>0</v>
      </c>
      <c r="AF110" s="4">
        <f>AF50</f>
        <v>0</v>
      </c>
      <c r="AG110" s="5">
        <f t="shared" si="45"/>
        <v>0</v>
      </c>
      <c r="AH110" s="5">
        <f t="shared" si="46"/>
        <v>0</v>
      </c>
      <c r="AI110" s="5">
        <f t="shared" si="47"/>
        <v>0</v>
      </c>
    </row>
    <row r="111" spans="1:35" s="6" customFormat="1" ht="33.75" customHeight="1" x14ac:dyDescent="0.25">
      <c r="A111" s="72" t="s">
        <v>39</v>
      </c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4"/>
      <c r="R111" s="5"/>
      <c r="AC111" s="5">
        <f t="shared" si="44"/>
        <v>0</v>
      </c>
      <c r="AG111" s="5">
        <f t="shared" si="45"/>
        <v>0</v>
      </c>
      <c r="AH111" s="5">
        <f t="shared" si="46"/>
        <v>0</v>
      </c>
      <c r="AI111" s="5">
        <f t="shared" si="47"/>
        <v>0</v>
      </c>
    </row>
    <row r="112" spans="1:35" s="6" customFormat="1" ht="51.75" customHeight="1" x14ac:dyDescent="0.25">
      <c r="A112" s="64">
        <v>42</v>
      </c>
      <c r="B112" s="65" t="s">
        <v>71</v>
      </c>
      <c r="C112" s="78" t="s">
        <v>26</v>
      </c>
      <c r="D112" s="56" t="s">
        <v>40</v>
      </c>
      <c r="E112" s="56" t="s">
        <v>12</v>
      </c>
      <c r="F112" s="56" t="s">
        <v>12</v>
      </c>
      <c r="G112" s="56" t="s">
        <v>12</v>
      </c>
      <c r="H112" s="56" t="s">
        <v>12</v>
      </c>
      <c r="I112" s="1">
        <f t="shared" ref="I112:I117" si="63">SUM(J112:M112)</f>
        <v>100438120</v>
      </c>
      <c r="J112" s="1">
        <v>0</v>
      </c>
      <c r="K112" s="1">
        <f>K114</f>
        <v>100438120</v>
      </c>
      <c r="L112" s="1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5"/>
      <c r="AB112" s="4">
        <v>0</v>
      </c>
      <c r="AC112" s="5">
        <f t="shared" si="44"/>
        <v>0</v>
      </c>
      <c r="AD112" s="4">
        <v>0</v>
      </c>
      <c r="AE112" s="4">
        <v>0</v>
      </c>
      <c r="AF112" s="4">
        <v>0</v>
      </c>
      <c r="AG112" s="5">
        <f t="shared" si="45"/>
        <v>0</v>
      </c>
      <c r="AH112" s="5">
        <f t="shared" si="46"/>
        <v>0</v>
      </c>
      <c r="AI112" s="5">
        <f t="shared" si="47"/>
        <v>0</v>
      </c>
    </row>
    <row r="113" spans="1:35" s="6" customFormat="1" ht="52.5" customHeight="1" x14ac:dyDescent="0.25">
      <c r="A113" s="64"/>
      <c r="B113" s="65"/>
      <c r="C113" s="78"/>
      <c r="D113" s="56" t="s">
        <v>31</v>
      </c>
      <c r="E113" s="56" t="s">
        <v>12</v>
      </c>
      <c r="F113" s="56" t="s">
        <v>12</v>
      </c>
      <c r="G113" s="56" t="s">
        <v>12</v>
      </c>
      <c r="H113" s="56" t="s">
        <v>12</v>
      </c>
      <c r="I113" s="1">
        <f t="shared" si="63"/>
        <v>39059268.890000001</v>
      </c>
      <c r="J113" s="1">
        <v>0</v>
      </c>
      <c r="K113" s="1">
        <f>K115</f>
        <v>39059268.890000001</v>
      </c>
      <c r="L113" s="1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5"/>
      <c r="AB113" s="4">
        <v>0</v>
      </c>
      <c r="AC113" s="5">
        <f t="shared" si="44"/>
        <v>0</v>
      </c>
      <c r="AD113" s="4">
        <v>0</v>
      </c>
      <c r="AE113" s="4">
        <v>0</v>
      </c>
      <c r="AF113" s="4">
        <v>0</v>
      </c>
      <c r="AG113" s="5">
        <f t="shared" si="45"/>
        <v>0</v>
      </c>
      <c r="AH113" s="5">
        <f t="shared" si="46"/>
        <v>0</v>
      </c>
      <c r="AI113" s="5">
        <f t="shared" si="47"/>
        <v>0</v>
      </c>
    </row>
    <row r="114" spans="1:35" s="6" customFormat="1" ht="60.75" customHeight="1" x14ac:dyDescent="0.25">
      <c r="A114" s="64">
        <v>43</v>
      </c>
      <c r="B114" s="65" t="s">
        <v>72</v>
      </c>
      <c r="C114" s="78" t="s">
        <v>26</v>
      </c>
      <c r="D114" s="56" t="s">
        <v>40</v>
      </c>
      <c r="E114" s="56" t="s">
        <v>12</v>
      </c>
      <c r="F114" s="56" t="s">
        <v>12</v>
      </c>
      <c r="G114" s="56" t="s">
        <v>12</v>
      </c>
      <c r="H114" s="56" t="s">
        <v>12</v>
      </c>
      <c r="I114" s="1">
        <f t="shared" si="63"/>
        <v>100438120</v>
      </c>
      <c r="J114" s="1">
        <v>0</v>
      </c>
      <c r="K114" s="1">
        <f>K122</f>
        <v>100438120</v>
      </c>
      <c r="L114" s="1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5"/>
      <c r="AB114" s="4">
        <v>0</v>
      </c>
      <c r="AC114" s="5">
        <f t="shared" si="44"/>
        <v>0</v>
      </c>
      <c r="AD114" s="4">
        <v>0</v>
      </c>
      <c r="AE114" s="4">
        <v>0</v>
      </c>
      <c r="AF114" s="4">
        <v>0</v>
      </c>
      <c r="AG114" s="5">
        <f t="shared" si="45"/>
        <v>0</v>
      </c>
      <c r="AH114" s="5">
        <f t="shared" si="46"/>
        <v>0</v>
      </c>
      <c r="AI114" s="5">
        <f t="shared" si="47"/>
        <v>0</v>
      </c>
    </row>
    <row r="115" spans="1:35" s="6" customFormat="1" ht="60.75" customHeight="1" x14ac:dyDescent="0.25">
      <c r="A115" s="64"/>
      <c r="B115" s="65"/>
      <c r="C115" s="78"/>
      <c r="D115" s="56" t="s">
        <v>31</v>
      </c>
      <c r="E115" s="56" t="s">
        <v>12</v>
      </c>
      <c r="F115" s="56" t="s">
        <v>12</v>
      </c>
      <c r="G115" s="56" t="s">
        <v>12</v>
      </c>
      <c r="H115" s="56" t="s">
        <v>12</v>
      </c>
      <c r="I115" s="1">
        <f t="shared" si="63"/>
        <v>39059268.890000001</v>
      </c>
      <c r="J115" s="1">
        <v>0</v>
      </c>
      <c r="K115" s="1">
        <f>K123</f>
        <v>39059268.890000001</v>
      </c>
      <c r="L115" s="1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5"/>
      <c r="AB115" s="4">
        <v>0</v>
      </c>
      <c r="AC115" s="5">
        <f t="shared" si="44"/>
        <v>0</v>
      </c>
      <c r="AD115" s="4">
        <v>0</v>
      </c>
      <c r="AE115" s="4">
        <v>0</v>
      </c>
      <c r="AF115" s="4">
        <v>0</v>
      </c>
      <c r="AG115" s="5">
        <f t="shared" si="45"/>
        <v>0</v>
      </c>
      <c r="AH115" s="5">
        <f t="shared" si="46"/>
        <v>0</v>
      </c>
      <c r="AI115" s="5">
        <f t="shared" si="47"/>
        <v>0</v>
      </c>
    </row>
    <row r="116" spans="1:35" s="6" customFormat="1" ht="40.5" customHeight="1" x14ac:dyDescent="0.25">
      <c r="A116" s="64">
        <v>44</v>
      </c>
      <c r="B116" s="65" t="s">
        <v>73</v>
      </c>
      <c r="C116" s="78" t="s">
        <v>26</v>
      </c>
      <c r="D116" s="56" t="s">
        <v>40</v>
      </c>
      <c r="E116" s="56" t="s">
        <v>12</v>
      </c>
      <c r="F116" s="56" t="s">
        <v>12</v>
      </c>
      <c r="G116" s="56" t="s">
        <v>12</v>
      </c>
      <c r="H116" s="56" t="s">
        <v>12</v>
      </c>
      <c r="I116" s="1">
        <f t="shared" si="63"/>
        <v>66958745.460000001</v>
      </c>
      <c r="J116" s="1">
        <v>0</v>
      </c>
      <c r="K116" s="1">
        <f>66958745.46</f>
        <v>66958745.460000001</v>
      </c>
      <c r="L116" s="1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5"/>
      <c r="AB116" s="4">
        <v>0</v>
      </c>
      <c r="AC116" s="5">
        <f t="shared" si="44"/>
        <v>0</v>
      </c>
      <c r="AD116" s="4">
        <v>0</v>
      </c>
      <c r="AE116" s="4">
        <v>0</v>
      </c>
      <c r="AF116" s="4">
        <v>0</v>
      </c>
      <c r="AG116" s="5">
        <f t="shared" si="45"/>
        <v>0</v>
      </c>
      <c r="AH116" s="5">
        <f t="shared" si="46"/>
        <v>0</v>
      </c>
      <c r="AI116" s="5">
        <f t="shared" si="47"/>
        <v>0</v>
      </c>
    </row>
    <row r="117" spans="1:35" s="6" customFormat="1" ht="40.5" customHeight="1" x14ac:dyDescent="0.25">
      <c r="A117" s="64"/>
      <c r="B117" s="65"/>
      <c r="C117" s="78"/>
      <c r="D117" s="56" t="s">
        <v>31</v>
      </c>
      <c r="E117" s="56" t="s">
        <v>12</v>
      </c>
      <c r="F117" s="56" t="s">
        <v>12</v>
      </c>
      <c r="G117" s="56" t="s">
        <v>12</v>
      </c>
      <c r="H117" s="56" t="s">
        <v>12</v>
      </c>
      <c r="I117" s="1">
        <f t="shared" si="63"/>
        <v>26039512.129999999</v>
      </c>
      <c r="J117" s="1">
        <v>0</v>
      </c>
      <c r="K117" s="1">
        <f>26039517.24-5.11</f>
        <v>26039512.129999999</v>
      </c>
      <c r="L117" s="1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5"/>
      <c r="AB117" s="4">
        <v>0</v>
      </c>
      <c r="AC117" s="5">
        <f t="shared" si="44"/>
        <v>0</v>
      </c>
      <c r="AD117" s="4">
        <v>0</v>
      </c>
      <c r="AE117" s="4">
        <v>0</v>
      </c>
      <c r="AF117" s="4">
        <v>0</v>
      </c>
      <c r="AG117" s="5">
        <f t="shared" si="45"/>
        <v>0</v>
      </c>
      <c r="AH117" s="5">
        <f t="shared" si="46"/>
        <v>0</v>
      </c>
      <c r="AI117" s="5">
        <f t="shared" si="47"/>
        <v>0</v>
      </c>
    </row>
    <row r="118" spans="1:35" s="6" customFormat="1" ht="40.5" customHeight="1" x14ac:dyDescent="0.25">
      <c r="A118" s="64">
        <v>45</v>
      </c>
      <c r="B118" s="65" t="s">
        <v>74</v>
      </c>
      <c r="C118" s="78" t="s">
        <v>26</v>
      </c>
      <c r="D118" s="56" t="s">
        <v>40</v>
      </c>
      <c r="E118" s="56" t="s">
        <v>12</v>
      </c>
      <c r="F118" s="56" t="s">
        <v>12</v>
      </c>
      <c r="G118" s="56" t="s">
        <v>12</v>
      </c>
      <c r="H118" s="56" t="s">
        <v>12</v>
      </c>
      <c r="I118" s="1">
        <f>SUM(J118:M118)</f>
        <v>33479374.539999999</v>
      </c>
      <c r="J118" s="1">
        <v>0</v>
      </c>
      <c r="K118" s="1">
        <v>33479374.539999999</v>
      </c>
      <c r="L118" s="1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5"/>
      <c r="AB118" s="4">
        <v>0</v>
      </c>
      <c r="AC118" s="5">
        <f t="shared" si="44"/>
        <v>0</v>
      </c>
      <c r="AD118" s="4">
        <v>0</v>
      </c>
      <c r="AE118" s="4">
        <v>0</v>
      </c>
      <c r="AF118" s="4">
        <v>0</v>
      </c>
      <c r="AG118" s="5">
        <f t="shared" si="45"/>
        <v>0</v>
      </c>
      <c r="AH118" s="5">
        <f t="shared" si="46"/>
        <v>0</v>
      </c>
      <c r="AI118" s="5">
        <f t="shared" si="47"/>
        <v>0</v>
      </c>
    </row>
    <row r="119" spans="1:35" s="6" customFormat="1" ht="40.5" customHeight="1" x14ac:dyDescent="0.25">
      <c r="A119" s="64"/>
      <c r="B119" s="65"/>
      <c r="C119" s="78"/>
      <c r="D119" s="56" t="s">
        <v>31</v>
      </c>
      <c r="E119" s="56" t="s">
        <v>12</v>
      </c>
      <c r="F119" s="56" t="s">
        <v>12</v>
      </c>
      <c r="G119" s="56" t="s">
        <v>12</v>
      </c>
      <c r="H119" s="56" t="s">
        <v>12</v>
      </c>
      <c r="I119" s="1">
        <f>SUM(J119:M119)</f>
        <v>13019756.76</v>
      </c>
      <c r="J119" s="1">
        <v>0</v>
      </c>
      <c r="K119" s="1">
        <v>13019756.76</v>
      </c>
      <c r="L119" s="1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5"/>
      <c r="AB119" s="4">
        <v>0</v>
      </c>
      <c r="AC119" s="5">
        <f t="shared" si="44"/>
        <v>0</v>
      </c>
      <c r="AD119" s="4">
        <v>0</v>
      </c>
      <c r="AE119" s="4">
        <v>0</v>
      </c>
      <c r="AF119" s="4">
        <v>0</v>
      </c>
      <c r="AG119" s="5">
        <f t="shared" si="45"/>
        <v>0</v>
      </c>
      <c r="AH119" s="5">
        <f t="shared" si="46"/>
        <v>0</v>
      </c>
      <c r="AI119" s="5">
        <f t="shared" si="47"/>
        <v>0</v>
      </c>
    </row>
    <row r="120" spans="1:35" s="6" customFormat="1" ht="40.5" customHeight="1" x14ac:dyDescent="0.25">
      <c r="A120" s="64">
        <v>46</v>
      </c>
      <c r="B120" s="65" t="s">
        <v>75</v>
      </c>
      <c r="C120" s="78" t="s">
        <v>26</v>
      </c>
      <c r="D120" s="56" t="s">
        <v>40</v>
      </c>
      <c r="E120" s="56" t="s">
        <v>12</v>
      </c>
      <c r="F120" s="56" t="s">
        <v>12</v>
      </c>
      <c r="G120" s="56" t="s">
        <v>12</v>
      </c>
      <c r="H120" s="56" t="s">
        <v>12</v>
      </c>
      <c r="I120" s="1">
        <f>K120</f>
        <v>0</v>
      </c>
      <c r="J120" s="1">
        <v>0</v>
      </c>
      <c r="K120" s="1">
        <v>0</v>
      </c>
      <c r="L120" s="1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5"/>
      <c r="AB120" s="4">
        <v>0</v>
      </c>
      <c r="AC120" s="5">
        <f t="shared" si="44"/>
        <v>0</v>
      </c>
      <c r="AD120" s="4">
        <v>0</v>
      </c>
      <c r="AE120" s="4">
        <v>0</v>
      </c>
      <c r="AF120" s="4">
        <v>0</v>
      </c>
      <c r="AG120" s="5">
        <f t="shared" si="45"/>
        <v>0</v>
      </c>
      <c r="AH120" s="5">
        <f t="shared" si="46"/>
        <v>0</v>
      </c>
      <c r="AI120" s="5">
        <f t="shared" si="47"/>
        <v>0</v>
      </c>
    </row>
    <row r="121" spans="1:35" s="6" customFormat="1" ht="40.5" customHeight="1" x14ac:dyDescent="0.25">
      <c r="A121" s="64"/>
      <c r="B121" s="65"/>
      <c r="C121" s="78"/>
      <c r="D121" s="56" t="s">
        <v>31</v>
      </c>
      <c r="E121" s="56" t="s">
        <v>12</v>
      </c>
      <c r="F121" s="56" t="s">
        <v>12</v>
      </c>
      <c r="G121" s="56" t="s">
        <v>12</v>
      </c>
      <c r="H121" s="56" t="s">
        <v>12</v>
      </c>
      <c r="I121" s="1">
        <f>K121</f>
        <v>0</v>
      </c>
      <c r="J121" s="1">
        <v>0</v>
      </c>
      <c r="K121" s="1">
        <v>0</v>
      </c>
      <c r="L121" s="1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5"/>
      <c r="AB121" s="4">
        <v>0</v>
      </c>
      <c r="AC121" s="5">
        <f t="shared" si="44"/>
        <v>0</v>
      </c>
      <c r="AD121" s="4">
        <v>0</v>
      </c>
      <c r="AE121" s="4">
        <v>0</v>
      </c>
      <c r="AF121" s="4">
        <v>0</v>
      </c>
      <c r="AG121" s="5">
        <f t="shared" si="45"/>
        <v>0</v>
      </c>
      <c r="AH121" s="5">
        <f t="shared" si="46"/>
        <v>0</v>
      </c>
      <c r="AI121" s="5">
        <f t="shared" si="47"/>
        <v>0</v>
      </c>
    </row>
    <row r="122" spans="1:35" s="6" customFormat="1" ht="40.5" customHeight="1" x14ac:dyDescent="0.25">
      <c r="A122" s="64">
        <v>47</v>
      </c>
      <c r="B122" s="65" t="s">
        <v>41</v>
      </c>
      <c r="C122" s="78"/>
      <c r="D122" s="56" t="s">
        <v>40</v>
      </c>
      <c r="E122" s="56" t="s">
        <v>12</v>
      </c>
      <c r="F122" s="56" t="s">
        <v>12</v>
      </c>
      <c r="G122" s="56" t="s">
        <v>12</v>
      </c>
      <c r="H122" s="56" t="s">
        <v>12</v>
      </c>
      <c r="I122" s="1">
        <f>SUM(J122:M122)</f>
        <v>100438120</v>
      </c>
      <c r="J122" s="1">
        <v>0</v>
      </c>
      <c r="K122" s="1">
        <f>SUM(K116+K118+K120)</f>
        <v>100438120</v>
      </c>
      <c r="L122" s="1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5"/>
      <c r="AB122" s="4">
        <v>0</v>
      </c>
      <c r="AC122" s="5">
        <f t="shared" si="44"/>
        <v>0</v>
      </c>
      <c r="AD122" s="4">
        <v>0</v>
      </c>
      <c r="AE122" s="4">
        <v>0</v>
      </c>
      <c r="AF122" s="4">
        <v>0</v>
      </c>
      <c r="AG122" s="5">
        <f t="shared" si="45"/>
        <v>0</v>
      </c>
      <c r="AH122" s="5">
        <f t="shared" si="46"/>
        <v>0</v>
      </c>
      <c r="AI122" s="5">
        <f t="shared" si="47"/>
        <v>0</v>
      </c>
    </row>
    <row r="123" spans="1:35" s="6" customFormat="1" ht="40.5" customHeight="1" x14ac:dyDescent="0.25">
      <c r="A123" s="64"/>
      <c r="B123" s="65"/>
      <c r="C123" s="78"/>
      <c r="D123" s="56" t="s">
        <v>31</v>
      </c>
      <c r="E123" s="56" t="s">
        <v>12</v>
      </c>
      <c r="F123" s="56" t="s">
        <v>12</v>
      </c>
      <c r="G123" s="56" t="s">
        <v>12</v>
      </c>
      <c r="H123" s="56" t="s">
        <v>12</v>
      </c>
      <c r="I123" s="1">
        <f>SUM(J123:M123)</f>
        <v>39059268.890000001</v>
      </c>
      <c r="J123" s="1">
        <v>0</v>
      </c>
      <c r="K123" s="1">
        <f>SUM(K117+K119+K121)</f>
        <v>39059268.890000001</v>
      </c>
      <c r="L123" s="1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5"/>
      <c r="AB123" s="4">
        <v>0</v>
      </c>
      <c r="AC123" s="5">
        <f t="shared" si="44"/>
        <v>0</v>
      </c>
      <c r="AD123" s="4">
        <v>0</v>
      </c>
      <c r="AE123" s="4">
        <v>0</v>
      </c>
      <c r="AF123" s="4">
        <v>0</v>
      </c>
      <c r="AG123" s="5">
        <f t="shared" si="45"/>
        <v>0</v>
      </c>
      <c r="AH123" s="5">
        <f t="shared" si="46"/>
        <v>0</v>
      </c>
      <c r="AI123" s="5">
        <f t="shared" si="47"/>
        <v>0</v>
      </c>
    </row>
    <row r="124" spans="1:35" s="6" customFormat="1" ht="60" hidden="1" customHeight="1" x14ac:dyDescent="0.25">
      <c r="A124" s="64">
        <v>43</v>
      </c>
      <c r="B124" s="82" t="s">
        <v>82</v>
      </c>
      <c r="C124" s="78" t="s">
        <v>26</v>
      </c>
      <c r="D124" s="56" t="s">
        <v>40</v>
      </c>
      <c r="E124" s="56" t="s">
        <v>12</v>
      </c>
      <c r="F124" s="56" t="s">
        <v>12</v>
      </c>
      <c r="G124" s="56" t="s">
        <v>12</v>
      </c>
      <c r="H124" s="56" t="s">
        <v>12</v>
      </c>
      <c r="I124" s="1">
        <v>0</v>
      </c>
      <c r="J124" s="1">
        <v>0</v>
      </c>
      <c r="K124" s="1">
        <v>0</v>
      </c>
      <c r="L124" s="1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5"/>
      <c r="AB124" s="4">
        <v>0</v>
      </c>
      <c r="AC124" s="5">
        <f t="shared" si="44"/>
        <v>0</v>
      </c>
      <c r="AD124" s="4">
        <v>0</v>
      </c>
      <c r="AE124" s="4">
        <v>0</v>
      </c>
      <c r="AF124" s="4">
        <v>0</v>
      </c>
      <c r="AG124" s="5">
        <f t="shared" si="45"/>
        <v>0</v>
      </c>
      <c r="AH124" s="5">
        <f t="shared" si="46"/>
        <v>0</v>
      </c>
      <c r="AI124" s="5">
        <f t="shared" si="47"/>
        <v>0</v>
      </c>
    </row>
    <row r="125" spans="1:35" s="6" customFormat="1" ht="63.75" hidden="1" customHeight="1" x14ac:dyDescent="0.25">
      <c r="A125" s="64"/>
      <c r="B125" s="84"/>
      <c r="C125" s="78"/>
      <c r="D125" s="56" t="s">
        <v>31</v>
      </c>
      <c r="E125" s="56" t="s">
        <v>12</v>
      </c>
      <c r="F125" s="56" t="s">
        <v>12</v>
      </c>
      <c r="G125" s="56" t="s">
        <v>12</v>
      </c>
      <c r="H125" s="56" t="s">
        <v>12</v>
      </c>
      <c r="I125" s="1">
        <v>0</v>
      </c>
      <c r="J125" s="1">
        <v>0</v>
      </c>
      <c r="K125" s="1">
        <v>0</v>
      </c>
      <c r="L125" s="1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5"/>
      <c r="AB125" s="4">
        <v>0</v>
      </c>
      <c r="AC125" s="5">
        <f t="shared" si="44"/>
        <v>0</v>
      </c>
      <c r="AD125" s="4">
        <v>0</v>
      </c>
      <c r="AE125" s="4">
        <v>0</v>
      </c>
      <c r="AF125" s="4">
        <v>0</v>
      </c>
      <c r="AG125" s="5">
        <f t="shared" si="45"/>
        <v>0</v>
      </c>
      <c r="AH125" s="5">
        <f t="shared" si="46"/>
        <v>0</v>
      </c>
      <c r="AI125" s="5">
        <f t="shared" si="47"/>
        <v>0</v>
      </c>
    </row>
    <row r="126" spans="1:35" s="6" customFormat="1" ht="40.5" hidden="1" customHeight="1" x14ac:dyDescent="0.25">
      <c r="A126" s="64">
        <v>44</v>
      </c>
      <c r="B126" s="82" t="s">
        <v>76</v>
      </c>
      <c r="C126" s="78" t="s">
        <v>26</v>
      </c>
      <c r="D126" s="56" t="s">
        <v>40</v>
      </c>
      <c r="E126" s="56" t="s">
        <v>12</v>
      </c>
      <c r="F126" s="56" t="s">
        <v>12</v>
      </c>
      <c r="G126" s="56" t="s">
        <v>12</v>
      </c>
      <c r="H126" s="56" t="s">
        <v>12</v>
      </c>
      <c r="I126" s="1">
        <v>0</v>
      </c>
      <c r="J126" s="1">
        <v>0</v>
      </c>
      <c r="K126" s="1">
        <v>0</v>
      </c>
      <c r="L126" s="1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5"/>
      <c r="AB126" s="4">
        <v>0</v>
      </c>
      <c r="AC126" s="5">
        <f t="shared" si="44"/>
        <v>0</v>
      </c>
      <c r="AD126" s="4">
        <v>0</v>
      </c>
      <c r="AE126" s="4">
        <v>0</v>
      </c>
      <c r="AF126" s="4">
        <v>0</v>
      </c>
      <c r="AG126" s="5">
        <f t="shared" si="45"/>
        <v>0</v>
      </c>
      <c r="AH126" s="5">
        <f t="shared" si="46"/>
        <v>0</v>
      </c>
      <c r="AI126" s="5">
        <f t="shared" si="47"/>
        <v>0</v>
      </c>
    </row>
    <row r="127" spans="1:35" s="6" customFormat="1" ht="51" hidden="1" customHeight="1" x14ac:dyDescent="0.25">
      <c r="A127" s="64"/>
      <c r="B127" s="84"/>
      <c r="C127" s="78"/>
      <c r="D127" s="56" t="s">
        <v>31</v>
      </c>
      <c r="E127" s="56" t="s">
        <v>12</v>
      </c>
      <c r="F127" s="56" t="s">
        <v>12</v>
      </c>
      <c r="G127" s="56" t="s">
        <v>12</v>
      </c>
      <c r="H127" s="56" t="s">
        <v>12</v>
      </c>
      <c r="I127" s="1">
        <v>0</v>
      </c>
      <c r="J127" s="1">
        <v>0</v>
      </c>
      <c r="K127" s="1">
        <v>0</v>
      </c>
      <c r="L127" s="1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5"/>
      <c r="AB127" s="4">
        <v>0</v>
      </c>
      <c r="AC127" s="5">
        <f t="shared" si="44"/>
        <v>0</v>
      </c>
      <c r="AD127" s="4">
        <v>0</v>
      </c>
      <c r="AE127" s="4">
        <v>0</v>
      </c>
      <c r="AF127" s="4">
        <v>0</v>
      </c>
      <c r="AG127" s="5">
        <f t="shared" si="45"/>
        <v>0</v>
      </c>
      <c r="AH127" s="5">
        <f t="shared" si="46"/>
        <v>0</v>
      </c>
      <c r="AI127" s="5">
        <f t="shared" si="47"/>
        <v>0</v>
      </c>
    </row>
    <row r="128" spans="1:35" s="6" customFormat="1" ht="48.75" hidden="1" customHeight="1" x14ac:dyDescent="0.25">
      <c r="A128" s="64">
        <v>45</v>
      </c>
      <c r="B128" s="65" t="s">
        <v>42</v>
      </c>
      <c r="C128" s="78"/>
      <c r="D128" s="56" t="s">
        <v>40</v>
      </c>
      <c r="E128" s="56" t="s">
        <v>12</v>
      </c>
      <c r="F128" s="56" t="s">
        <v>12</v>
      </c>
      <c r="G128" s="56" t="s">
        <v>12</v>
      </c>
      <c r="H128" s="56" t="s">
        <v>12</v>
      </c>
      <c r="I128" s="1">
        <v>0</v>
      </c>
      <c r="J128" s="1">
        <v>0</v>
      </c>
      <c r="K128" s="1">
        <v>0</v>
      </c>
      <c r="L128" s="1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5"/>
      <c r="AB128" s="4">
        <v>0</v>
      </c>
      <c r="AC128" s="5">
        <f t="shared" si="44"/>
        <v>0</v>
      </c>
      <c r="AD128" s="4">
        <v>0</v>
      </c>
      <c r="AE128" s="4">
        <v>0</v>
      </c>
      <c r="AF128" s="4">
        <v>0</v>
      </c>
      <c r="AG128" s="5">
        <f t="shared" si="45"/>
        <v>0</v>
      </c>
      <c r="AH128" s="5">
        <f t="shared" si="46"/>
        <v>0</v>
      </c>
      <c r="AI128" s="5">
        <f t="shared" si="47"/>
        <v>0</v>
      </c>
    </row>
    <row r="129" spans="1:35" s="6" customFormat="1" ht="47.25" hidden="1" customHeight="1" x14ac:dyDescent="0.25">
      <c r="A129" s="64"/>
      <c r="B129" s="65"/>
      <c r="C129" s="78"/>
      <c r="D129" s="56" t="s">
        <v>31</v>
      </c>
      <c r="E129" s="56" t="s">
        <v>12</v>
      </c>
      <c r="F129" s="56" t="s">
        <v>12</v>
      </c>
      <c r="G129" s="56" t="s">
        <v>12</v>
      </c>
      <c r="H129" s="56" t="s">
        <v>12</v>
      </c>
      <c r="I129" s="1">
        <v>0</v>
      </c>
      <c r="J129" s="1">
        <v>0</v>
      </c>
      <c r="K129" s="1">
        <v>0</v>
      </c>
      <c r="L129" s="1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5"/>
      <c r="AB129" s="4">
        <v>0</v>
      </c>
      <c r="AC129" s="5">
        <f t="shared" si="44"/>
        <v>0</v>
      </c>
      <c r="AD129" s="4">
        <v>0</v>
      </c>
      <c r="AE129" s="4">
        <v>0</v>
      </c>
      <c r="AF129" s="4">
        <v>0</v>
      </c>
      <c r="AG129" s="5">
        <f t="shared" si="45"/>
        <v>0</v>
      </c>
      <c r="AH129" s="5">
        <f t="shared" si="46"/>
        <v>0</v>
      </c>
      <c r="AI129" s="5">
        <f t="shared" si="47"/>
        <v>0</v>
      </c>
    </row>
    <row r="130" spans="1:35" s="6" customFormat="1" ht="34.5" customHeight="1" x14ac:dyDescent="0.25">
      <c r="A130" s="59">
        <v>48</v>
      </c>
      <c r="B130" s="57" t="s">
        <v>23</v>
      </c>
      <c r="C130" s="56"/>
      <c r="D130" s="56"/>
      <c r="E130" s="56" t="s">
        <v>12</v>
      </c>
      <c r="F130" s="56" t="s">
        <v>12</v>
      </c>
      <c r="G130" s="56" t="s">
        <v>12</v>
      </c>
      <c r="H130" s="56" t="s">
        <v>12</v>
      </c>
      <c r="I130" s="1">
        <f>SUM(J130:N130)</f>
        <v>139497388.88999999</v>
      </c>
      <c r="J130" s="1">
        <v>0</v>
      </c>
      <c r="K130" s="1">
        <f>SUM(K122:K123)</f>
        <v>139497388.88999999</v>
      </c>
      <c r="L130" s="1">
        <v>0</v>
      </c>
      <c r="M130" s="37">
        <v>0</v>
      </c>
      <c r="N130" s="4">
        <v>0</v>
      </c>
      <c r="O130" s="4">
        <v>0</v>
      </c>
      <c r="P130" s="4">
        <v>0</v>
      </c>
      <c r="Q130" s="4">
        <v>0</v>
      </c>
      <c r="R130" s="5"/>
      <c r="AB130" s="4">
        <v>0</v>
      </c>
      <c r="AC130" s="5">
        <f t="shared" si="44"/>
        <v>0</v>
      </c>
      <c r="AD130" s="4">
        <v>0</v>
      </c>
      <c r="AE130" s="4">
        <v>0</v>
      </c>
      <c r="AF130" s="4">
        <v>0</v>
      </c>
      <c r="AG130" s="5">
        <f t="shared" si="45"/>
        <v>0</v>
      </c>
      <c r="AH130" s="5">
        <f t="shared" si="46"/>
        <v>0</v>
      </c>
      <c r="AI130" s="5">
        <f t="shared" si="47"/>
        <v>0</v>
      </c>
    </row>
    <row r="131" spans="1:35" s="6" customFormat="1" ht="27.75" customHeight="1" x14ac:dyDescent="0.25">
      <c r="A131" s="59">
        <v>49</v>
      </c>
      <c r="B131" s="57" t="s">
        <v>25</v>
      </c>
      <c r="C131" s="56"/>
      <c r="D131" s="56"/>
      <c r="E131" s="56"/>
      <c r="F131" s="56"/>
      <c r="G131" s="56"/>
      <c r="H131" s="56"/>
      <c r="I131" s="1"/>
      <c r="J131" s="1"/>
      <c r="K131" s="1"/>
      <c r="L131" s="1"/>
      <c r="M131" s="4"/>
      <c r="N131" s="4"/>
      <c r="O131" s="4"/>
      <c r="P131" s="4"/>
      <c r="Q131" s="4"/>
      <c r="R131" s="5"/>
      <c r="AB131" s="4"/>
      <c r="AC131" s="5">
        <f t="shared" si="44"/>
        <v>0</v>
      </c>
      <c r="AD131" s="4"/>
      <c r="AE131" s="4"/>
      <c r="AF131" s="4"/>
      <c r="AG131" s="5">
        <f t="shared" si="45"/>
        <v>0</v>
      </c>
      <c r="AH131" s="5">
        <f t="shared" si="46"/>
        <v>0</v>
      </c>
      <c r="AI131" s="5">
        <f t="shared" si="47"/>
        <v>0</v>
      </c>
    </row>
    <row r="132" spans="1:35" s="6" customFormat="1" ht="32.25" customHeight="1" x14ac:dyDescent="0.25">
      <c r="A132" s="59">
        <v>50</v>
      </c>
      <c r="B132" s="57" t="s">
        <v>40</v>
      </c>
      <c r="C132" s="56"/>
      <c r="D132" s="56"/>
      <c r="E132" s="56" t="s">
        <v>12</v>
      </c>
      <c r="F132" s="56" t="s">
        <v>12</v>
      </c>
      <c r="G132" s="56" t="s">
        <v>12</v>
      </c>
      <c r="H132" s="56" t="s">
        <v>12</v>
      </c>
      <c r="I132" s="1">
        <f>SUM(J132:M132)</f>
        <v>100438120</v>
      </c>
      <c r="J132" s="1">
        <v>0</v>
      </c>
      <c r="K132" s="1">
        <f>SUM(K122)</f>
        <v>100438120</v>
      </c>
      <c r="L132" s="1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5"/>
      <c r="AB132" s="4">
        <v>0</v>
      </c>
      <c r="AC132" s="5">
        <f t="shared" si="44"/>
        <v>0</v>
      </c>
      <c r="AD132" s="4">
        <v>0</v>
      </c>
      <c r="AE132" s="4">
        <v>0</v>
      </c>
      <c r="AF132" s="4">
        <v>0</v>
      </c>
      <c r="AG132" s="5">
        <f t="shared" si="45"/>
        <v>0</v>
      </c>
      <c r="AH132" s="5">
        <f t="shared" si="46"/>
        <v>0</v>
      </c>
      <c r="AI132" s="5">
        <f t="shared" si="47"/>
        <v>0</v>
      </c>
    </row>
    <row r="133" spans="1:35" s="6" customFormat="1" ht="32.25" customHeight="1" x14ac:dyDescent="0.25">
      <c r="A133" s="59">
        <v>51</v>
      </c>
      <c r="B133" s="57" t="s">
        <v>31</v>
      </c>
      <c r="C133" s="56"/>
      <c r="D133" s="56"/>
      <c r="E133" s="56" t="s">
        <v>12</v>
      </c>
      <c r="F133" s="56" t="s">
        <v>12</v>
      </c>
      <c r="G133" s="56" t="s">
        <v>12</v>
      </c>
      <c r="H133" s="56" t="s">
        <v>12</v>
      </c>
      <c r="I133" s="1">
        <f>SUM(J133:M133)</f>
        <v>39059268.890000001</v>
      </c>
      <c r="J133" s="1">
        <v>0</v>
      </c>
      <c r="K133" s="7">
        <f>K123</f>
        <v>39059268.890000001</v>
      </c>
      <c r="L133" s="1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5"/>
      <c r="AB133" s="4">
        <v>0</v>
      </c>
      <c r="AC133" s="5">
        <f t="shared" si="44"/>
        <v>0</v>
      </c>
      <c r="AD133" s="4">
        <v>0</v>
      </c>
      <c r="AE133" s="4">
        <v>0</v>
      </c>
      <c r="AF133" s="4">
        <v>0</v>
      </c>
      <c r="AG133" s="5">
        <f t="shared" si="45"/>
        <v>0</v>
      </c>
      <c r="AH133" s="5">
        <f t="shared" si="46"/>
        <v>0</v>
      </c>
      <c r="AI133" s="5">
        <f t="shared" si="47"/>
        <v>0</v>
      </c>
    </row>
    <row r="134" spans="1:35" s="47" customFormat="1" ht="32.25" customHeight="1" x14ac:dyDescent="0.25">
      <c r="A134" s="59">
        <v>52</v>
      </c>
      <c r="B134" s="57" t="s">
        <v>9</v>
      </c>
      <c r="C134" s="57"/>
      <c r="D134" s="57"/>
      <c r="E134" s="57" t="s">
        <v>12</v>
      </c>
      <c r="F134" s="57" t="s">
        <v>12</v>
      </c>
      <c r="G134" s="57" t="s">
        <v>12</v>
      </c>
      <c r="H134" s="57" t="s">
        <v>12</v>
      </c>
      <c r="I134" s="38">
        <f>J134+K134+L134+M134+N134+Q134+O134+P134</f>
        <v>5108271855.6000004</v>
      </c>
      <c r="J134" s="38">
        <f>J13+J20+J29+J30</f>
        <v>390711350.44</v>
      </c>
      <c r="K134" s="39">
        <f>K136+K137+K138</f>
        <v>584295408.25</v>
      </c>
      <c r="L134" s="38">
        <f>L136+L137</f>
        <v>486748809.75000006</v>
      </c>
      <c r="M134" s="30">
        <f>M137+M136+M138</f>
        <v>1046123196.23</v>
      </c>
      <c r="N134" s="30">
        <f>N137+N136+N138</f>
        <v>918456354.80000007</v>
      </c>
      <c r="O134" s="30">
        <f>O137+O136+O138</f>
        <v>522529857.50999999</v>
      </c>
      <c r="P134" s="30">
        <f>P137+P136+P138</f>
        <v>582324316.02999997</v>
      </c>
      <c r="Q134" s="30">
        <f>Q137+Q136+Q138</f>
        <v>577082562.58999991</v>
      </c>
      <c r="R134" s="46"/>
      <c r="AB134" s="30">
        <f>AB137+AB136+AB138</f>
        <v>928770099.18999994</v>
      </c>
      <c r="AC134" s="5">
        <f t="shared" si="44"/>
        <v>-10313744.389999866</v>
      </c>
      <c r="AD134" s="30">
        <f>AD137+AD136+AD138</f>
        <v>575432764.71000004</v>
      </c>
      <c r="AE134" s="30">
        <f>AE137+AE136+AE138</f>
        <v>572632764.71000004</v>
      </c>
      <c r="AF134" s="30">
        <f>AF137+AF136+AF138</f>
        <v>16449026.199999999</v>
      </c>
      <c r="AG134" s="5">
        <f t="shared" si="45"/>
        <v>-52902907.200000048</v>
      </c>
      <c r="AH134" s="5">
        <f t="shared" si="46"/>
        <v>9691551.3199999332</v>
      </c>
      <c r="AI134" s="5">
        <f t="shared" si="47"/>
        <v>560633536.38999987</v>
      </c>
    </row>
    <row r="135" spans="1:35" s="47" customFormat="1" ht="23.25" customHeight="1" x14ac:dyDescent="0.25">
      <c r="A135" s="59">
        <v>53</v>
      </c>
      <c r="B135" s="57" t="s">
        <v>25</v>
      </c>
      <c r="C135" s="57"/>
      <c r="D135" s="57"/>
      <c r="E135" s="57"/>
      <c r="F135" s="57"/>
      <c r="G135" s="57"/>
      <c r="H135" s="57"/>
      <c r="I135" s="38"/>
      <c r="J135" s="38"/>
      <c r="K135" s="38"/>
      <c r="L135" s="38"/>
      <c r="M135" s="30"/>
      <c r="N135" s="31"/>
      <c r="O135" s="30"/>
      <c r="P135" s="30"/>
      <c r="Q135" s="30"/>
      <c r="R135" s="46"/>
      <c r="AB135" s="31"/>
      <c r="AC135" s="5">
        <f t="shared" si="44"/>
        <v>0</v>
      </c>
      <c r="AD135" s="30"/>
      <c r="AE135" s="30"/>
      <c r="AF135" s="30"/>
      <c r="AG135" s="5">
        <f t="shared" si="45"/>
        <v>0</v>
      </c>
      <c r="AH135" s="5">
        <f t="shared" si="46"/>
        <v>0</v>
      </c>
      <c r="AI135" s="5">
        <f t="shared" si="47"/>
        <v>0</v>
      </c>
    </row>
    <row r="136" spans="1:35" s="47" customFormat="1" ht="32.25" customHeight="1" x14ac:dyDescent="0.25">
      <c r="A136" s="59">
        <v>54</v>
      </c>
      <c r="B136" s="57" t="s">
        <v>8</v>
      </c>
      <c r="C136" s="57"/>
      <c r="D136" s="57"/>
      <c r="E136" s="57"/>
      <c r="F136" s="57"/>
      <c r="G136" s="57"/>
      <c r="H136" s="57"/>
      <c r="I136" s="38">
        <f>SUM(J136:Q136)</f>
        <v>4320763161.0100002</v>
      </c>
      <c r="J136" s="30">
        <f>J15+J21+J27+J37+J39+J41+J51+J52+J58+J59+J60+J77+J78+J79+J80+J82+J83+J89+J94</f>
        <v>384505850.43999994</v>
      </c>
      <c r="K136" s="30">
        <f>K15+K21+K27+K37+K39+K41+K51+K52+K58+K59+K60+K77+K78+K79+K80+K82+K83+K89+K94</f>
        <v>439151691.36000007</v>
      </c>
      <c r="L136" s="30">
        <f>L15+L21+L27+L37+L39+L88+L41+L51+L52+L58+L59+L60+L77+L78+L79+L80+L82+L83+L89+L94</f>
        <v>478637326.45000005</v>
      </c>
      <c r="M136" s="30">
        <f>M15+M21+M27+M37+M39+M41+M51+M52+M58+M59+M60+M77+M78+M79+M80+M82+M83+M89+M94</f>
        <v>551321512.23000002</v>
      </c>
      <c r="N136" s="30">
        <f>N15+N21+N27+N37+N39+N41+N51+N52+N58+N59+N60+N77+N78+N79+N80+N82+N83+N89+N94</f>
        <v>878942406.91000009</v>
      </c>
      <c r="O136" s="30">
        <f>O15+O21+O27+O37+O39+O41+O51+O52+O58+O59+O60+O77+O78+O79+O80+O82+O83+O89+O94</f>
        <v>488917658.48000002</v>
      </c>
      <c r="P136" s="30">
        <f>P15+P21+P27+P37+P39+P41+P51+P52+P58+P59+P60+P77+P78+P79+P80+P82+P83+P89+P94</f>
        <v>549442357.56999993</v>
      </c>
      <c r="Q136" s="30">
        <f>Q15+Q21+Q27+Q37+Q39+Q41+Q51+Q52+Q58+Q59+Q60+Q77+Q78+Q79+Q80+Q82+Q83+Q89+Q94</f>
        <v>549844357.56999993</v>
      </c>
      <c r="R136" s="46"/>
      <c r="AB136" s="30">
        <f>AB10</f>
        <v>889256151.29999995</v>
      </c>
      <c r="AC136" s="5">
        <f t="shared" si="44"/>
        <v>-10313744.389999866</v>
      </c>
      <c r="AD136" s="30">
        <f>AD15+AD21+AD27+AD37+AD39+AD41+AD51+AD52+AD58+AD59+AD60+AD77+AD78+AD79+AD80+AD82+AD83+AD89+AD94</f>
        <v>536903237.47000003</v>
      </c>
      <c r="AE136" s="30">
        <f>AE15+AE21+AE27+AE37+AE39+AE41+AE51+AE52+AE58+AE59+AE60+AE77+AE78+AE79+AE80+AE82+AE83+AE89+AE94</f>
        <v>534103237.47000003</v>
      </c>
      <c r="AF136" s="30">
        <f>AF15+AF21+AF27+AF37+AF39+AF41+AF51+AF52+AF58+AF59+AF60+AF77+AF78+AF79+AF80+AF82+AF83+AF89+AF94</f>
        <v>16449026.199999999</v>
      </c>
      <c r="AG136" s="5">
        <f t="shared" si="45"/>
        <v>-47985578.99000001</v>
      </c>
      <c r="AH136" s="5">
        <f t="shared" si="46"/>
        <v>15339120.099999905</v>
      </c>
      <c r="AI136" s="5">
        <f t="shared" si="47"/>
        <v>533395331.36999995</v>
      </c>
    </row>
    <row r="137" spans="1:35" s="47" customFormat="1" ht="32.25" customHeight="1" x14ac:dyDescent="0.25">
      <c r="A137" s="59">
        <v>55</v>
      </c>
      <c r="B137" s="57" t="s">
        <v>31</v>
      </c>
      <c r="C137" s="57"/>
      <c r="D137" s="57"/>
      <c r="E137" s="57"/>
      <c r="F137" s="57"/>
      <c r="G137" s="57"/>
      <c r="H137" s="57"/>
      <c r="I137" s="38">
        <f>SUM(J137:Q137)</f>
        <v>686576692.59000003</v>
      </c>
      <c r="J137" s="38">
        <v>6205500</v>
      </c>
      <c r="K137" s="39">
        <f t="shared" ref="K137:Q137" si="64">K11</f>
        <v>44705596.890000001</v>
      </c>
      <c r="L137" s="38">
        <f>L11</f>
        <v>8111483.2999999998</v>
      </c>
      <c r="M137" s="30">
        <f t="shared" si="64"/>
        <v>494801684</v>
      </c>
      <c r="N137" s="30">
        <f>N14+N61+N75</f>
        <v>39020065.890000001</v>
      </c>
      <c r="O137" s="30">
        <f t="shared" si="64"/>
        <v>33612199.030000001</v>
      </c>
      <c r="P137" s="30">
        <f t="shared" si="64"/>
        <v>32881958.460000001</v>
      </c>
      <c r="Q137" s="30">
        <f t="shared" si="64"/>
        <v>27238205.02</v>
      </c>
      <c r="R137" s="46">
        <v>537926753.71000004</v>
      </c>
      <c r="S137" s="46">
        <v>537926753.71000004</v>
      </c>
      <c r="T137" s="47">
        <v>1095455012.1400001</v>
      </c>
      <c r="AB137" s="30">
        <f>AB11</f>
        <v>39020065.890000001</v>
      </c>
      <c r="AC137" s="5">
        <f t="shared" si="44"/>
        <v>0</v>
      </c>
      <c r="AD137" s="30">
        <f t="shared" ref="AD137:AF137" si="65">AD11</f>
        <v>38529527.240000002</v>
      </c>
      <c r="AE137" s="30">
        <f t="shared" si="65"/>
        <v>38529527.240000002</v>
      </c>
      <c r="AF137" s="30">
        <f t="shared" si="65"/>
        <v>0</v>
      </c>
      <c r="AG137" s="5">
        <f t="shared" si="45"/>
        <v>-4917328.2100000009</v>
      </c>
      <c r="AH137" s="5">
        <f t="shared" si="46"/>
        <v>-5647568.7800000012</v>
      </c>
      <c r="AI137" s="5">
        <f t="shared" si="47"/>
        <v>27238205.02</v>
      </c>
    </row>
    <row r="138" spans="1:35" s="47" customFormat="1" ht="32.25" customHeight="1" x14ac:dyDescent="0.25">
      <c r="A138" s="59">
        <v>56</v>
      </c>
      <c r="B138" s="22" t="s">
        <v>40</v>
      </c>
      <c r="C138" s="22"/>
      <c r="D138" s="22"/>
      <c r="E138" s="22"/>
      <c r="F138" s="22"/>
      <c r="G138" s="22"/>
      <c r="H138" s="22"/>
      <c r="I138" s="38">
        <f>SUM(J138:Q138)</f>
        <v>100932002</v>
      </c>
      <c r="J138" s="39">
        <v>0</v>
      </c>
      <c r="K138" s="39">
        <f>K132</f>
        <v>100438120</v>
      </c>
      <c r="L138" s="39">
        <v>0</v>
      </c>
      <c r="M138" s="30">
        <v>0</v>
      </c>
      <c r="N138" s="30">
        <f>N62</f>
        <v>493882</v>
      </c>
      <c r="O138" s="30">
        <v>0</v>
      </c>
      <c r="P138" s="30">
        <v>0</v>
      </c>
      <c r="Q138" s="30">
        <v>0</v>
      </c>
      <c r="R138" s="46">
        <f>O134-R137</f>
        <v>-15396896.200000048</v>
      </c>
      <c r="S138" s="46">
        <f>P134-S137</f>
        <v>44397562.319999933</v>
      </c>
      <c r="T138" s="47">
        <f>T137-T139</f>
        <v>30395136.000000119</v>
      </c>
      <c r="AB138" s="30">
        <f>AB12</f>
        <v>493882</v>
      </c>
      <c r="AC138" s="5">
        <f t="shared" si="44"/>
        <v>0</v>
      </c>
    </row>
    <row r="139" spans="1:35" ht="15.75" customHeight="1" x14ac:dyDescent="0.25">
      <c r="B139" s="103"/>
      <c r="C139" s="103"/>
      <c r="D139" s="103"/>
      <c r="I139" s="107"/>
      <c r="J139" s="107"/>
      <c r="K139" s="107"/>
      <c r="L139" s="107"/>
      <c r="R139" s="5">
        <f>R137+R138</f>
        <v>522529857.50999999</v>
      </c>
      <c r="S139" s="5">
        <f>S137+S138</f>
        <v>582324316.02999997</v>
      </c>
      <c r="T139" s="26">
        <v>1065059876.14</v>
      </c>
      <c r="AC139" s="5">
        <f>N139-AB139</f>
        <v>0</v>
      </c>
    </row>
    <row r="140" spans="1:35" ht="26.25" customHeight="1" x14ac:dyDescent="0.25">
      <c r="B140" s="109" t="s">
        <v>105</v>
      </c>
      <c r="C140" s="109"/>
      <c r="D140" s="109"/>
      <c r="I140" s="108"/>
      <c r="J140" s="108"/>
      <c r="K140" s="108"/>
      <c r="L140" s="108"/>
      <c r="N140" s="101" t="s">
        <v>118</v>
      </c>
      <c r="O140" s="101"/>
      <c r="P140" s="101"/>
      <c r="Q140" s="101"/>
      <c r="AC140" s="5"/>
    </row>
    <row r="141" spans="1:35" s="51" customFormat="1" ht="53.25" customHeight="1" x14ac:dyDescent="0.3">
      <c r="A141" s="48"/>
      <c r="B141" s="109"/>
      <c r="C141" s="109"/>
      <c r="D141" s="109"/>
      <c r="E141" s="49"/>
      <c r="F141" s="49"/>
      <c r="G141" s="49"/>
      <c r="H141" s="49"/>
      <c r="I141" s="49"/>
      <c r="J141" s="49"/>
      <c r="K141" s="50"/>
      <c r="L141" s="50"/>
      <c r="M141" s="50"/>
      <c r="N141" s="101"/>
      <c r="O141" s="101"/>
      <c r="P141" s="101"/>
      <c r="Q141" s="101"/>
      <c r="R141" s="26"/>
      <c r="S141" s="26"/>
      <c r="T141" s="26"/>
      <c r="U141" s="26"/>
      <c r="V141" s="26"/>
      <c r="W141" s="26"/>
      <c r="X141" s="26"/>
    </row>
    <row r="142" spans="1:35" s="51" customFormat="1" ht="40.5" customHeight="1" x14ac:dyDescent="0.3">
      <c r="A142" s="48"/>
      <c r="B142" s="55"/>
      <c r="C142" s="55"/>
      <c r="D142" s="55"/>
      <c r="E142" s="49"/>
      <c r="F142" s="49"/>
      <c r="G142" s="49"/>
      <c r="H142" s="49"/>
      <c r="I142" s="49"/>
      <c r="J142" s="49"/>
      <c r="K142" s="50"/>
      <c r="L142" s="50"/>
      <c r="M142" s="50"/>
      <c r="N142" s="110"/>
      <c r="O142" s="32">
        <v>537926753.71000004</v>
      </c>
      <c r="P142" s="58"/>
      <c r="Q142" s="58"/>
      <c r="R142" s="26"/>
      <c r="S142" s="26"/>
      <c r="T142" s="26"/>
      <c r="U142" s="26"/>
      <c r="V142" s="26"/>
      <c r="W142" s="26"/>
      <c r="X142" s="26"/>
      <c r="AB142" s="110"/>
      <c r="AC142" s="111"/>
    </row>
    <row r="143" spans="1:35" ht="30.75" customHeight="1" x14ac:dyDescent="0.25">
      <c r="B143" s="102"/>
      <c r="C143" s="102"/>
      <c r="D143" s="102"/>
      <c r="M143" s="32">
        <f>N143-N137-N138-N151</f>
        <v>839695341.21000004</v>
      </c>
      <c r="N143" s="32">
        <f>N17+N18+N19+N27+N39+N40+N38+N51+N58+N59+N61+N62+N68+N71+N72+N77+N78+N88</f>
        <v>898832821.95000005</v>
      </c>
      <c r="O143" s="32">
        <f t="shared" ref="O143:Q143" si="66">O17+O18+O19+O27+O39+O40+O38+O51+O58+O59+O61+O62+O68+O71+O72+O77+O78+O88</f>
        <v>486751813.51000005</v>
      </c>
      <c r="P143" s="32">
        <f t="shared" si="66"/>
        <v>550820305.02999997</v>
      </c>
      <c r="Q143" s="32">
        <f t="shared" si="66"/>
        <v>545176551.58999991</v>
      </c>
      <c r="AB143" s="32">
        <f>AB17+AB18+AB19+AB27+AB39+AB40+AB38+AB51+AB58+AB59+AB61+AB62+AB68+AB71+AB72+AB77+AB78+AB88+AB37</f>
        <v>899313911.00999999</v>
      </c>
      <c r="AC143" s="32">
        <f>N143-AB143</f>
        <v>-481089.05999994278</v>
      </c>
    </row>
    <row r="144" spans="1:35" ht="15" customHeight="1" x14ac:dyDescent="0.25">
      <c r="B144" s="102"/>
      <c r="C144" s="102"/>
      <c r="D144" s="102"/>
      <c r="N144" s="32">
        <f>860291049.16+38541772.79</f>
        <v>898832821.94999993</v>
      </c>
      <c r="O144" s="32">
        <v>486751813.50999999</v>
      </c>
      <c r="P144" s="26">
        <f>518268346.57+32551958.46</f>
        <v>550820305.02999997</v>
      </c>
      <c r="Q144" s="26">
        <f>517938346.57+27238205.02</f>
        <v>545176551.59000003</v>
      </c>
      <c r="AB144" s="32">
        <v>899313911.00999999</v>
      </c>
    </row>
    <row r="145" spans="2:28" x14ac:dyDescent="0.25">
      <c r="B145" s="102"/>
      <c r="C145" s="102"/>
      <c r="D145" s="102"/>
      <c r="N145" s="32">
        <f>N144-N143</f>
        <v>0</v>
      </c>
      <c r="O145" s="32">
        <f>O143-O144</f>
        <v>0</v>
      </c>
      <c r="P145" s="32">
        <f t="shared" ref="P145:AA145" si="67">P143-P144</f>
        <v>0</v>
      </c>
      <c r="Q145" s="32">
        <f t="shared" si="67"/>
        <v>0</v>
      </c>
      <c r="R145" s="32">
        <f t="shared" si="67"/>
        <v>0</v>
      </c>
      <c r="S145" s="32">
        <f t="shared" si="67"/>
        <v>0</v>
      </c>
      <c r="T145" s="32">
        <f t="shared" si="67"/>
        <v>0</v>
      </c>
      <c r="U145" s="32">
        <f t="shared" si="67"/>
        <v>0</v>
      </c>
      <c r="V145" s="32">
        <f t="shared" si="67"/>
        <v>0</v>
      </c>
      <c r="W145" s="32">
        <f t="shared" si="67"/>
        <v>0</v>
      </c>
      <c r="X145" s="32">
        <f t="shared" si="67"/>
        <v>0</v>
      </c>
      <c r="Y145" s="32">
        <f t="shared" si="67"/>
        <v>0</v>
      </c>
      <c r="Z145" s="32">
        <f t="shared" si="67"/>
        <v>0</v>
      </c>
      <c r="AA145" s="32">
        <f t="shared" si="67"/>
        <v>0</v>
      </c>
      <c r="AB145" s="32">
        <f>AB144-AB143</f>
        <v>0</v>
      </c>
    </row>
    <row r="146" spans="2:28" x14ac:dyDescent="0.25">
      <c r="N146" s="32"/>
      <c r="AB146" s="32"/>
    </row>
    <row r="147" spans="2:28" x14ac:dyDescent="0.25">
      <c r="N147" s="26">
        <v>918456354.79999995</v>
      </c>
      <c r="O147" s="63">
        <v>522529857.50999999</v>
      </c>
      <c r="P147" s="63">
        <v>582324316.02999997</v>
      </c>
      <c r="Q147" s="63">
        <v>577082562.59000003</v>
      </c>
    </row>
    <row r="148" spans="2:28" x14ac:dyDescent="0.25">
      <c r="N148" s="32">
        <f>N134-N147</f>
        <v>0</v>
      </c>
      <c r="O148" s="63">
        <v>522529857.50999999</v>
      </c>
      <c r="P148" s="63"/>
      <c r="Q148" s="63"/>
    </row>
    <row r="149" spans="2:28" x14ac:dyDescent="0.25">
      <c r="O149" s="63">
        <f>O134-O147</f>
        <v>0</v>
      </c>
      <c r="P149" s="63">
        <f>P134-P147</f>
        <v>0</v>
      </c>
      <c r="Q149" s="63">
        <f>Q134-Q147</f>
        <v>0</v>
      </c>
    </row>
    <row r="150" spans="2:28" x14ac:dyDescent="0.25">
      <c r="N150" s="32"/>
      <c r="O150" s="63"/>
      <c r="P150" s="63"/>
      <c r="Q150" s="63"/>
      <c r="AB150" s="32"/>
    </row>
    <row r="151" spans="2:28" x14ac:dyDescent="0.25">
      <c r="N151" s="32">
        <f>N23+N24+N25+N26+N54+N55+N56+N57+N64+N65+N66+N67+N84+N85+N86+N87+N90+N91+N92+N93+N95+N96+N97+N98</f>
        <v>19623532.849999998</v>
      </c>
      <c r="O151" s="32">
        <f>N136-N151</f>
        <v>859318874.06000006</v>
      </c>
      <c r="AB151" s="32"/>
    </row>
    <row r="152" spans="2:28" x14ac:dyDescent="0.25">
      <c r="N152" s="32">
        <f>N143+N151</f>
        <v>918456354.80000007</v>
      </c>
      <c r="AB152" s="32"/>
    </row>
    <row r="153" spans="2:28" x14ac:dyDescent="0.25">
      <c r="N153" s="32">
        <f>N152-N147</f>
        <v>0</v>
      </c>
      <c r="O153" s="32">
        <f>O142-O143</f>
        <v>51174940.199999988</v>
      </c>
    </row>
    <row r="155" spans="2:28" x14ac:dyDescent="0.25">
      <c r="N155" s="32">
        <f>N10-N136</f>
        <v>0</v>
      </c>
    </row>
    <row r="156" spans="2:28" x14ac:dyDescent="0.25">
      <c r="N156" s="32">
        <f>N137-N11</f>
        <v>0</v>
      </c>
    </row>
    <row r="157" spans="2:28" x14ac:dyDescent="0.25">
      <c r="N157" s="32">
        <f>N138-N12</f>
        <v>0</v>
      </c>
    </row>
    <row r="160" spans="2:28" x14ac:dyDescent="0.25">
      <c r="I160" s="26">
        <v>686576692.59000003</v>
      </c>
      <c r="J160" s="26">
        <v>6205500</v>
      </c>
      <c r="K160" s="26">
        <v>44705596.890000001</v>
      </c>
      <c r="L160" s="26">
        <v>8111483.2999999998</v>
      </c>
      <c r="M160" s="26">
        <v>494801684</v>
      </c>
      <c r="N160" s="26">
        <v>39020065.890000001</v>
      </c>
      <c r="O160" s="26">
        <v>33612199.030000001</v>
      </c>
      <c r="P160" s="26">
        <v>32881958.460000001</v>
      </c>
      <c r="Q160" s="26">
        <v>27238205.02</v>
      </c>
    </row>
    <row r="161" spans="9:17" x14ac:dyDescent="0.25">
      <c r="I161" s="26">
        <v>100932002</v>
      </c>
      <c r="J161" s="26">
        <v>0</v>
      </c>
      <c r="K161" s="26">
        <v>100438120</v>
      </c>
      <c r="L161" s="26">
        <v>0</v>
      </c>
      <c r="M161" s="26">
        <v>0</v>
      </c>
      <c r="N161" s="26">
        <v>493882</v>
      </c>
      <c r="O161" s="26">
        <v>0</v>
      </c>
      <c r="P161" s="26">
        <v>0</v>
      </c>
      <c r="Q161" s="26">
        <v>0</v>
      </c>
    </row>
    <row r="165" spans="9:17" x14ac:dyDescent="0.25">
      <c r="I165" s="32">
        <f>I136-I10</f>
        <v>0</v>
      </c>
      <c r="J165" s="32">
        <f t="shared" ref="J165:Q165" si="68">J136-J10</f>
        <v>0</v>
      </c>
      <c r="K165" s="32">
        <f t="shared" si="68"/>
        <v>0</v>
      </c>
      <c r="L165" s="32">
        <f t="shared" si="68"/>
        <v>0</v>
      </c>
      <c r="M165" s="32">
        <f t="shared" si="68"/>
        <v>0</v>
      </c>
      <c r="N165" s="32">
        <f t="shared" si="68"/>
        <v>0</v>
      </c>
      <c r="O165" s="32">
        <f t="shared" si="68"/>
        <v>0</v>
      </c>
      <c r="P165" s="32">
        <f t="shared" si="68"/>
        <v>0</v>
      </c>
      <c r="Q165" s="32">
        <f t="shared" si="68"/>
        <v>0</v>
      </c>
    </row>
    <row r="166" spans="9:17" x14ac:dyDescent="0.25">
      <c r="I166" s="32">
        <f t="shared" ref="I166:Q167" si="69">I137-I11</f>
        <v>0</v>
      </c>
      <c r="J166" s="32">
        <f t="shared" si="69"/>
        <v>0</v>
      </c>
      <c r="K166" s="32">
        <f t="shared" si="69"/>
        <v>0</v>
      </c>
      <c r="L166" s="32">
        <f t="shared" si="69"/>
        <v>0</v>
      </c>
      <c r="M166" s="32">
        <f t="shared" si="69"/>
        <v>0</v>
      </c>
      <c r="N166" s="32">
        <f t="shared" si="69"/>
        <v>0</v>
      </c>
      <c r="O166" s="32">
        <f t="shared" si="69"/>
        <v>0</v>
      </c>
      <c r="P166" s="32">
        <f t="shared" si="69"/>
        <v>0</v>
      </c>
      <c r="Q166" s="32">
        <f t="shared" si="69"/>
        <v>0</v>
      </c>
    </row>
    <row r="167" spans="9:17" x14ac:dyDescent="0.25">
      <c r="I167" s="32">
        <f t="shared" si="69"/>
        <v>0</v>
      </c>
      <c r="J167" s="32">
        <f t="shared" si="69"/>
        <v>0</v>
      </c>
      <c r="K167" s="32">
        <f t="shared" si="69"/>
        <v>0</v>
      </c>
      <c r="L167" s="32">
        <f t="shared" si="69"/>
        <v>0</v>
      </c>
      <c r="M167" s="32">
        <f t="shared" si="69"/>
        <v>0</v>
      </c>
      <c r="N167" s="32">
        <f t="shared" si="69"/>
        <v>0</v>
      </c>
      <c r="O167" s="32">
        <f t="shared" si="69"/>
        <v>0</v>
      </c>
      <c r="P167" s="32">
        <f t="shared" si="69"/>
        <v>0</v>
      </c>
      <c r="Q167" s="32">
        <f t="shared" si="69"/>
        <v>0</v>
      </c>
    </row>
    <row r="197" spans="14:28" x14ac:dyDescent="0.25">
      <c r="N197" s="32"/>
      <c r="AB197" s="32"/>
    </row>
  </sheetData>
  <autoFilter ref="A7:AF42"/>
  <mergeCells count="100">
    <mergeCell ref="B143:D145"/>
    <mergeCell ref="B139:D139"/>
    <mergeCell ref="D100:N100"/>
    <mergeCell ref="I139:L139"/>
    <mergeCell ref="I140:L140"/>
    <mergeCell ref="B140:D141"/>
    <mergeCell ref="C128:C129"/>
    <mergeCell ref="B118:B119"/>
    <mergeCell ref="C118:C119"/>
    <mergeCell ref="B112:B113"/>
    <mergeCell ref="C112:C113"/>
    <mergeCell ref="B126:B127"/>
    <mergeCell ref="C126:C127"/>
    <mergeCell ref="D73:L73"/>
    <mergeCell ref="B116:B117"/>
    <mergeCell ref="N140:Q141"/>
    <mergeCell ref="C120:C121"/>
    <mergeCell ref="C124:C125"/>
    <mergeCell ref="B124:B125"/>
    <mergeCell ref="B122:B123"/>
    <mergeCell ref="C122:C123"/>
    <mergeCell ref="B114:B115"/>
    <mergeCell ref="C114:C115"/>
    <mergeCell ref="C116:C117"/>
    <mergeCell ref="B120:B121"/>
    <mergeCell ref="D89:D93"/>
    <mergeCell ref="B89:B93"/>
    <mergeCell ref="I1:L1"/>
    <mergeCell ref="C6:C7"/>
    <mergeCell ref="A4:P4"/>
    <mergeCell ref="J2:P2"/>
    <mergeCell ref="A6:A7"/>
    <mergeCell ref="B6:B7"/>
    <mergeCell ref="E6:H6"/>
    <mergeCell ref="D6:D7"/>
    <mergeCell ref="I6:Q6"/>
    <mergeCell ref="A5:Q5"/>
    <mergeCell ref="A128:A129"/>
    <mergeCell ref="B128:B129"/>
    <mergeCell ref="A94:A98"/>
    <mergeCell ref="B17:B18"/>
    <mergeCell ref="B99:B104"/>
    <mergeCell ref="A126:A127"/>
    <mergeCell ref="A99:A104"/>
    <mergeCell ref="A122:A123"/>
    <mergeCell ref="A124:A125"/>
    <mergeCell ref="A120:A121"/>
    <mergeCell ref="A118:A119"/>
    <mergeCell ref="A112:A113"/>
    <mergeCell ref="A17:A18"/>
    <mergeCell ref="B22:B26"/>
    <mergeCell ref="A32:A34"/>
    <mergeCell ref="A22:A26"/>
    <mergeCell ref="C48:C50"/>
    <mergeCell ref="A45:A47"/>
    <mergeCell ref="B45:B47"/>
    <mergeCell ref="C45:C47"/>
    <mergeCell ref="C60:C62"/>
    <mergeCell ref="C35:C36"/>
    <mergeCell ref="B35:B36"/>
    <mergeCell ref="C37:C38"/>
    <mergeCell ref="A37:A38"/>
    <mergeCell ref="A35:A36"/>
    <mergeCell ref="A114:A115"/>
    <mergeCell ref="A116:A117"/>
    <mergeCell ref="B37:B38"/>
    <mergeCell ref="A52:A57"/>
    <mergeCell ref="A72:A75"/>
    <mergeCell ref="A48:A50"/>
    <mergeCell ref="B48:B50"/>
    <mergeCell ref="B72:B75"/>
    <mergeCell ref="A111:Q111"/>
    <mergeCell ref="D83:D88"/>
    <mergeCell ref="B94:B98"/>
    <mergeCell ref="A89:A93"/>
    <mergeCell ref="A83:A88"/>
    <mergeCell ref="B83:B88"/>
    <mergeCell ref="A42:Q42"/>
    <mergeCell ref="C68:C70"/>
    <mergeCell ref="B60:B71"/>
    <mergeCell ref="A60:A71"/>
    <mergeCell ref="A29:A31"/>
    <mergeCell ref="D22:L22"/>
    <mergeCell ref="B9:Q9"/>
    <mergeCell ref="B32:B34"/>
    <mergeCell ref="C32:C34"/>
    <mergeCell ref="B13:B14"/>
    <mergeCell ref="C29:C31"/>
    <mergeCell ref="B29:B31"/>
    <mergeCell ref="B15:B16"/>
    <mergeCell ref="C15:C16"/>
    <mergeCell ref="C10:C12"/>
    <mergeCell ref="C17:C18"/>
    <mergeCell ref="D53:L53"/>
    <mergeCell ref="B52:B57"/>
    <mergeCell ref="A10:A12"/>
    <mergeCell ref="B10:B12"/>
    <mergeCell ref="A13:A14"/>
    <mergeCell ref="C13:C14"/>
    <mergeCell ref="A15:A16"/>
  </mergeCells>
  <printOptions horizontalCentered="1"/>
  <pageMargins left="0.19685039370078741" right="0.19685039370078741" top="0.47244094488188981" bottom="0.35433070866141736" header="0.70866141732283472" footer="0.31496062992125984"/>
  <pageSetup paperSize="9" scale="39" fitToHeight="5" orientation="landscape" r:id="rId1"/>
  <headerFooter differentFirst="1">
    <oddHeader>&amp;C&amp;P</oddHeader>
  </headerFooter>
  <rowBreaks count="3" manualBreakCount="3">
    <brk id="47" max="35" man="1"/>
    <brk id="75" max="35" man="1"/>
    <brk id="104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2021-03-01T14:47:38Z</dcterms:modified>
</cp:coreProperties>
</file>