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9200" windowHeight="11595"/>
  </bookViews>
  <sheets>
    <sheet name="Расходы" sheetId="3" r:id="rId1"/>
  </sheets>
  <definedNames>
    <definedName name="_xlnm.Print_Titles" localSheetId="0">Расходы!$6:$8</definedName>
    <definedName name="_xlnm.Print_Area" localSheetId="0">Расходы!$A$1:$Q$126</definedName>
  </definedNames>
  <calcPr calcId="144525"/>
</workbook>
</file>

<file path=xl/calcChain.xml><?xml version="1.0" encoding="utf-8"?>
<calcChain xmlns="http://schemas.openxmlformats.org/spreadsheetml/2006/main">
  <c r="I121" i="3" l="1"/>
  <c r="I119" i="3"/>
  <c r="M11" i="3" l="1"/>
  <c r="M33" i="3"/>
  <c r="I34" i="3"/>
  <c r="I33" i="3"/>
  <c r="L121" i="3" l="1"/>
  <c r="I123" i="3"/>
  <c r="I122" i="3"/>
  <c r="N29" i="3" l="1"/>
  <c r="O29" i="3"/>
  <c r="M13" i="3" l="1"/>
  <c r="M29" i="3" l="1"/>
  <c r="M64" i="3" l="1"/>
  <c r="M50" i="3" l="1"/>
  <c r="M24" i="3" l="1"/>
  <c r="M45" i="3" l="1"/>
  <c r="M54" i="3"/>
  <c r="M23" i="3"/>
  <c r="M122" i="3" l="1"/>
  <c r="M58" i="3" l="1"/>
  <c r="M53" i="3" l="1"/>
  <c r="M72" i="3"/>
  <c r="M71" i="3" l="1"/>
  <c r="M69" i="3" s="1"/>
  <c r="M49" i="3"/>
  <c r="M51" i="3" l="1"/>
  <c r="M17" i="3" l="1"/>
  <c r="M39" i="3"/>
  <c r="M41" i="3"/>
  <c r="I62" i="3"/>
  <c r="I32" i="3" l="1"/>
  <c r="I88" i="3"/>
  <c r="I67" i="3"/>
  <c r="I68" i="3"/>
  <c r="I72" i="3"/>
  <c r="I76" i="3"/>
  <c r="I77" i="3"/>
  <c r="I78" i="3"/>
  <c r="I79" i="3"/>
  <c r="I66" i="3"/>
  <c r="I55" i="3"/>
  <c r="I56" i="3"/>
  <c r="P11" i="3" l="1"/>
  <c r="Q11" i="3"/>
  <c r="L57" i="3" l="1"/>
  <c r="L15" i="3" l="1"/>
  <c r="L26" i="3" l="1"/>
  <c r="I26" i="3" s="1"/>
  <c r="M18" i="3" l="1"/>
  <c r="N75" i="3" l="1"/>
  <c r="O75" i="3"/>
  <c r="P75" i="3"/>
  <c r="Q75" i="3"/>
  <c r="M75" i="3"/>
  <c r="I75" i="3" l="1"/>
  <c r="N22" i="3"/>
  <c r="M22" i="3"/>
  <c r="L53" i="3"/>
  <c r="L90" i="3"/>
  <c r="L85" i="3" s="1"/>
  <c r="L80" i="3" s="1"/>
  <c r="M84" i="3"/>
  <c r="N84" i="3"/>
  <c r="O84" i="3"/>
  <c r="P84" i="3"/>
  <c r="Q84" i="3"/>
  <c r="Q83" i="3"/>
  <c r="M83" i="3"/>
  <c r="N83" i="3"/>
  <c r="O83" i="3"/>
  <c r="P83" i="3"/>
  <c r="L83" i="3"/>
  <c r="I83" i="3" s="1"/>
  <c r="P82" i="3"/>
  <c r="Q82" i="3"/>
  <c r="P81" i="3"/>
  <c r="Q81" i="3"/>
  <c r="L81" i="3"/>
  <c r="P85" i="3"/>
  <c r="P80" i="3" s="1"/>
  <c r="Q85" i="3"/>
  <c r="Q80" i="3" s="1"/>
  <c r="N73" i="3"/>
  <c r="I73" i="3" s="1"/>
  <c r="O73" i="3"/>
  <c r="N71" i="3"/>
  <c r="O71" i="3"/>
  <c r="O69" i="3" s="1"/>
  <c r="L70" i="3"/>
  <c r="L69" i="3" l="1"/>
  <c r="I70" i="3"/>
  <c r="I71" i="3"/>
  <c r="N69" i="3"/>
  <c r="L84" i="3"/>
  <c r="L51" i="3"/>
  <c r="O58" i="3"/>
  <c r="L64" i="3"/>
  <c r="I69" i="3" l="1"/>
  <c r="O13" i="3"/>
  <c r="O41" i="3"/>
  <c r="O39" i="3"/>
  <c r="O95" i="3" s="1"/>
  <c r="N57" i="3"/>
  <c r="O57" i="3"/>
  <c r="O51" i="3" s="1"/>
  <c r="L50" i="3"/>
  <c r="M47" i="3"/>
  <c r="N47" i="3"/>
  <c r="O47" i="3"/>
  <c r="O43" i="3" s="1"/>
  <c r="L46" i="3"/>
  <c r="O40" i="3" l="1"/>
  <c r="L24" i="3"/>
  <c r="O23" i="3"/>
  <c r="N23" i="3"/>
  <c r="O17" i="3"/>
  <c r="N17" i="3"/>
  <c r="N18" i="3"/>
  <c r="O18" i="3" s="1"/>
  <c r="L17" i="3"/>
  <c r="L20" i="3" l="1"/>
  <c r="O16" i="3"/>
  <c r="O15" i="3" s="1"/>
  <c r="L74" i="3"/>
  <c r="I74" i="3" s="1"/>
  <c r="L27" i="3"/>
  <c r="P119" i="3"/>
  <c r="P121" i="3" s="1"/>
  <c r="Q119" i="3"/>
  <c r="Q121" i="3" s="1"/>
  <c r="Q27" i="3"/>
  <c r="P27" i="3"/>
  <c r="O27" i="3"/>
  <c r="I27" i="3" l="1"/>
  <c r="K48" i="3"/>
  <c r="I48" i="3" s="1"/>
  <c r="K24" i="3"/>
  <c r="I24" i="3" s="1"/>
  <c r="K57" i="3"/>
  <c r="K90" i="3" l="1"/>
  <c r="I90" i="3" s="1"/>
  <c r="K65" i="3"/>
  <c r="I65" i="3" s="1"/>
  <c r="K63" i="3"/>
  <c r="K54" i="3"/>
  <c r="K53" i="3"/>
  <c r="K50" i="3"/>
  <c r="K49" i="3"/>
  <c r="K46" i="3"/>
  <c r="I46" i="3" s="1"/>
  <c r="K47" i="3"/>
  <c r="I47" i="3" s="1"/>
  <c r="K42" i="3"/>
  <c r="K22" i="3"/>
  <c r="K17" i="3"/>
  <c r="L43" i="3" l="1"/>
  <c r="L40" i="3" s="1"/>
  <c r="M87" i="3"/>
  <c r="L38" i="3" l="1"/>
  <c r="L94" i="3" s="1"/>
  <c r="L28" i="3"/>
  <c r="M81" i="3"/>
  <c r="N43" i="3"/>
  <c r="N40" i="3" s="1"/>
  <c r="N51" i="3"/>
  <c r="N58" i="3"/>
  <c r="N16" i="3"/>
  <c r="N15" i="3" s="1"/>
  <c r="O22" i="3"/>
  <c r="I22" i="3" s="1"/>
  <c r="O20" i="3" l="1"/>
  <c r="O19" i="3" s="1"/>
  <c r="N20" i="3"/>
  <c r="N19" i="3" s="1"/>
  <c r="N39" i="3"/>
  <c r="N95" i="3" s="1"/>
  <c r="N13" i="3"/>
  <c r="N122" i="3" s="1"/>
  <c r="O122" i="3" s="1"/>
  <c r="N41" i="3"/>
  <c r="K25" i="3" l="1"/>
  <c r="I25" i="3" s="1"/>
  <c r="K89" i="3"/>
  <c r="N87" i="3" l="1"/>
  <c r="N81" i="3" l="1"/>
  <c r="O87" i="3"/>
  <c r="K45" i="3"/>
  <c r="I45" i="3" s="1"/>
  <c r="K82" i="3"/>
  <c r="O81" i="3" l="1"/>
  <c r="M82" i="3"/>
  <c r="M85" i="3"/>
  <c r="I12" i="3"/>
  <c r="M80" i="3" l="1"/>
  <c r="N82" i="3"/>
  <c r="I89" i="3"/>
  <c r="N85" i="3"/>
  <c r="N80" i="3" s="1"/>
  <c r="N28" i="3" s="1"/>
  <c r="N11" i="3" s="1"/>
  <c r="I105" i="3"/>
  <c r="I106" i="3"/>
  <c r="K102" i="3"/>
  <c r="K101" i="3"/>
  <c r="N91" i="3" l="1"/>
  <c r="N92" i="3" s="1"/>
  <c r="O82" i="3"/>
  <c r="O85" i="3"/>
  <c r="O80" i="3" s="1"/>
  <c r="N38" i="3"/>
  <c r="N94" i="3" s="1"/>
  <c r="N121" i="3"/>
  <c r="O121" i="3" s="1"/>
  <c r="K108" i="3"/>
  <c r="I108" i="3" s="1"/>
  <c r="K107" i="3"/>
  <c r="O91" i="3" l="1"/>
  <c r="O92" i="3" s="1"/>
  <c r="O28" i="3"/>
  <c r="O11" i="3" s="1"/>
  <c r="O38" i="3"/>
  <c r="O94" i="3" s="1"/>
  <c r="N119" i="3"/>
  <c r="O119" i="3"/>
  <c r="M16" i="3"/>
  <c r="K23" i="3"/>
  <c r="I23" i="3" s="1"/>
  <c r="M15" i="3" l="1"/>
  <c r="K20" i="3"/>
  <c r="K19" i="3" s="1"/>
  <c r="K87" i="3"/>
  <c r="I87" i="3" s="1"/>
  <c r="K43" i="3" l="1"/>
  <c r="K16" i="3"/>
  <c r="K117" i="3" l="1"/>
  <c r="K123" i="3" s="1"/>
  <c r="I107" i="3"/>
  <c r="K100" i="3"/>
  <c r="K99" i="3"/>
  <c r="I103" i="3"/>
  <c r="I104" i="3"/>
  <c r="I102" i="3"/>
  <c r="I101" i="3"/>
  <c r="K61" i="3"/>
  <c r="K51" i="3" l="1"/>
  <c r="K118" i="3"/>
  <c r="I118" i="3" s="1"/>
  <c r="K14" i="3"/>
  <c r="I14" i="3" s="1"/>
  <c r="I99" i="3"/>
  <c r="K97" i="3"/>
  <c r="K115" i="3"/>
  <c r="I115" i="3" s="1"/>
  <c r="I117" i="3"/>
  <c r="K98" i="3"/>
  <c r="I100" i="3"/>
  <c r="J84" i="3"/>
  <c r="I84" i="3" s="1"/>
  <c r="J82" i="3"/>
  <c r="I82" i="3" s="1"/>
  <c r="J81" i="3"/>
  <c r="K84" i="3"/>
  <c r="L91" i="3"/>
  <c r="K81" i="3"/>
  <c r="I81" i="3" l="1"/>
  <c r="K40" i="3"/>
  <c r="K80" i="3"/>
  <c r="K30" i="3"/>
  <c r="I30" i="3" s="1"/>
  <c r="I97" i="3"/>
  <c r="K31" i="3"/>
  <c r="I31" i="3" s="1"/>
  <c r="I98" i="3"/>
  <c r="K38" i="3" l="1"/>
  <c r="K94" i="3" s="1"/>
  <c r="K28" i="3"/>
  <c r="L58" i="3" l="1"/>
  <c r="L29" i="3" s="1"/>
  <c r="K58" i="3"/>
  <c r="K39" i="3" s="1"/>
  <c r="K95" i="3" s="1"/>
  <c r="M20" i="3"/>
  <c r="M19" i="3" l="1"/>
  <c r="K13" i="3"/>
  <c r="K122" i="3" s="1"/>
  <c r="K41" i="3"/>
  <c r="L19" i="3"/>
  <c r="L11" i="3" s="1"/>
  <c r="L41" i="3"/>
  <c r="L13" i="3"/>
  <c r="L39" i="3"/>
  <c r="K29" i="3"/>
  <c r="M91" i="3"/>
  <c r="M43" i="3"/>
  <c r="M40" i="3" s="1"/>
  <c r="J43" i="3"/>
  <c r="J20" i="3"/>
  <c r="I20" i="3" s="1"/>
  <c r="J17" i="3"/>
  <c r="I17" i="3" s="1"/>
  <c r="K15" i="3"/>
  <c r="K91" i="3"/>
  <c r="K92" i="3" s="1"/>
  <c r="J80" i="3"/>
  <c r="I80" i="3" s="1"/>
  <c r="K85" i="3"/>
  <c r="J85" i="3"/>
  <c r="I85" i="3" s="1"/>
  <c r="M28" i="3" l="1"/>
  <c r="M38" i="3"/>
  <c r="I43" i="3"/>
  <c r="M95" i="3"/>
  <c r="L95" i="3"/>
  <c r="L92" i="3"/>
  <c r="M92" i="3"/>
  <c r="K11" i="3"/>
  <c r="K121" i="3" s="1"/>
  <c r="K119" i="3" s="1"/>
  <c r="J91" i="3"/>
  <c r="I91" i="3" s="1"/>
  <c r="J57" i="3"/>
  <c r="I57" i="3" s="1"/>
  <c r="L122" i="3" l="1"/>
  <c r="J63" i="3"/>
  <c r="I63" i="3" s="1"/>
  <c r="J49" i="3"/>
  <c r="I49" i="3" s="1"/>
  <c r="J50" i="3"/>
  <c r="I50" i="3" s="1"/>
  <c r="M94" i="3" l="1"/>
  <c r="M121" i="3"/>
  <c r="L119" i="3"/>
  <c r="J53" i="3"/>
  <c r="I53" i="3" s="1"/>
  <c r="J18" i="3"/>
  <c r="I18" i="3" s="1"/>
  <c r="M119" i="3" l="1"/>
  <c r="J16" i="3"/>
  <c r="I16" i="3" s="1"/>
  <c r="J60" i="3"/>
  <c r="I60" i="3" s="1"/>
  <c r="J61" i="3"/>
  <c r="I61" i="3" s="1"/>
  <c r="J58" i="3" l="1"/>
  <c r="I58" i="3" s="1"/>
  <c r="J15" i="3"/>
  <c r="I15" i="3" s="1"/>
  <c r="J64" i="3"/>
  <c r="I64" i="3" s="1"/>
  <c r="J39" i="3" l="1"/>
  <c r="I39" i="3" s="1"/>
  <c r="J13" i="3"/>
  <c r="I13" i="3" s="1"/>
  <c r="J41" i="3"/>
  <c r="I41" i="3" s="1"/>
  <c r="J29" i="3"/>
  <c r="I29" i="3" s="1"/>
  <c r="J42" i="3"/>
  <c r="I42" i="3" s="1"/>
  <c r="J95" i="3" l="1"/>
  <c r="I95" i="3" s="1"/>
  <c r="J19" i="3"/>
  <c r="I19" i="3" s="1"/>
  <c r="J54" i="3" l="1"/>
  <c r="I54" i="3" s="1"/>
  <c r="J51" i="3" l="1"/>
  <c r="I51" i="3" s="1"/>
  <c r="J40" i="3" l="1"/>
  <c r="I40" i="3" s="1"/>
  <c r="J92" i="3" l="1"/>
  <c r="I92" i="3" s="1"/>
  <c r="J38" i="3"/>
  <c r="I38" i="3" s="1"/>
  <c r="J28" i="3"/>
  <c r="I28" i="3" s="1"/>
  <c r="J94" i="3" l="1"/>
  <c r="I94" i="3" s="1"/>
  <c r="J119" i="3"/>
  <c r="J121" i="3" l="1"/>
  <c r="J11" i="3" l="1"/>
  <c r="I11" i="3" s="1"/>
</calcChain>
</file>

<file path=xl/sharedStrings.xml><?xml version="1.0" encoding="utf-8"?>
<sst xmlns="http://schemas.openxmlformats.org/spreadsheetml/2006/main" count="633" uniqueCount="115">
  <si>
    <t>№ п/п</t>
  </si>
  <si>
    <t>КОСГУ</t>
  </si>
  <si>
    <t>Коды классификации</t>
  </si>
  <si>
    <t xml:space="preserve">Распределение расходов на реализацию муниципальной программы </t>
  </si>
  <si>
    <t>целевая статья</t>
  </si>
  <si>
    <t>вид расходов</t>
  </si>
  <si>
    <t>раздел, подраздел</t>
  </si>
  <si>
    <t>всего</t>
  </si>
  <si>
    <t xml:space="preserve">Цели, задачи, наименования программных мероприятий </t>
  </si>
  <si>
    <t>Бюджет МО "Город Астрахань"</t>
  </si>
  <si>
    <t>Итого по муниципальной Программе</t>
  </si>
  <si>
    <t>Ответственные исполнители, соисполнители, участники</t>
  </si>
  <si>
    <t>Источники           финансирования</t>
  </si>
  <si>
    <t>х</t>
  </si>
  <si>
    <t>Муниципальная программа "Повышение уровня благоустройства и улучшение санитарного состояния города Астрахани"</t>
  </si>
  <si>
    <t>Подпрограмма1. "Благоустройство территорий города для обеспечения отдыха и досуга жителей"</t>
  </si>
  <si>
    <t>2016 год</t>
  </si>
  <si>
    <t>2017 год</t>
  </si>
  <si>
    <t xml:space="preserve">       2018 год</t>
  </si>
  <si>
    <t>Администрация Трусовского района</t>
  </si>
  <si>
    <t xml:space="preserve">Администрация Кировского района, </t>
  </si>
  <si>
    <t>Администрация Ленинского района</t>
  </si>
  <si>
    <t>Администрация Советского района</t>
  </si>
  <si>
    <t>Администрация  Кировского района</t>
  </si>
  <si>
    <t>Итого по Подпрограмме</t>
  </si>
  <si>
    <t>Планируемые расходы, руб.</t>
  </si>
  <si>
    <t>в том числе:</t>
  </si>
  <si>
    <t>Управление по коммунальному хозяйству и благоустройству администрации МО "Город Астрахань"</t>
  </si>
  <si>
    <t>Администрации Кировского района, Ленинского района, Трусовского района, Советского района</t>
  </si>
  <si>
    <t xml:space="preserve">Управление по коммунальному хозяйству и благоустройству администрации МО "Город Астрахань" </t>
  </si>
  <si>
    <t>Итого по Задаче 1.2</t>
  </si>
  <si>
    <t>Администрации Кировского района, Ленинского района, Советского района, Трусовского района города Астрахани</t>
  </si>
  <si>
    <t>Бюджет Астраханской области</t>
  </si>
  <si>
    <t>Управление по коммунальному хозяйству администрации МО "Город Астрахань", МБУ  г. Астрахань "Чистый город"</t>
  </si>
  <si>
    <t>Управление по коммунальному хозяйству и благоусвтройству администраци МО "Город Астрахань"</t>
  </si>
  <si>
    <t>МБУ г. Астрахани "Чистый город"</t>
  </si>
  <si>
    <t>Управление по коммунальному хозяйству и благоустройству администрации МО "Город Астрахань" (МБУ г.Астрахани  "Зеленый город")</t>
  </si>
  <si>
    <t>муниципального образования "Город Астрахань" "Повышение уровня благоустройства и улучшение санитарного состояния города Астрахани"</t>
  </si>
  <si>
    <t xml:space="preserve">Администрация Кировского района </t>
  </si>
  <si>
    <t>2019 год</t>
  </si>
  <si>
    <t>Управление по коммунальному хозяйству и благоусвтройству администраци МО "Город Астрахань", МБУ г.Астрахань "Чистый  Город"</t>
  </si>
  <si>
    <t>Подпрограмма 2 "Формирование современной городской среды"</t>
  </si>
  <si>
    <t>Федеральный бюджет</t>
  </si>
  <si>
    <t>Итого по Задаче 2.1.</t>
  </si>
  <si>
    <t>Итого по Задаче 2.2</t>
  </si>
  <si>
    <t>Управление по коммунальному хозяйству и благоустройству администрации муниципального образования "Город Астрахань"</t>
  </si>
  <si>
    <t>Администрация Кировского района</t>
  </si>
  <si>
    <t>2020 год</t>
  </si>
  <si>
    <t>Управление по капитальному хозяйству и благоустройству администрации муниципального образования "Города Астрахани"</t>
  </si>
  <si>
    <t>Администрации районов,из них:</t>
  </si>
  <si>
    <t>Администрация Кировского района города</t>
  </si>
  <si>
    <t>Администрация Ленинского района города</t>
  </si>
  <si>
    <t>Администрация Советского района города</t>
  </si>
  <si>
    <t>Администрация Трусовского района города</t>
  </si>
  <si>
    <t>Администрации Ленинского района, Кировского района, Трусовского района</t>
  </si>
  <si>
    <t>2021 год</t>
  </si>
  <si>
    <t>2022 год</t>
  </si>
  <si>
    <t>2023 год</t>
  </si>
  <si>
    <t>ж</t>
  </si>
  <si>
    <t>Управление по коммунальному хозяйству и благоустройству администрации МО "Город Астрахань"(МБУ   г.Астрахани "Зеленый город")</t>
  </si>
  <si>
    <t>Администрация Совесткого района</t>
  </si>
  <si>
    <t>Администрации Ленинского района,Трусовского района,Кировского района, Советского района</t>
  </si>
  <si>
    <r>
      <t xml:space="preserve">Цель 1. </t>
    </r>
    <r>
      <rPr>
        <sz val="13"/>
        <color theme="1"/>
        <rFont val="Times New Roman"/>
        <family val="1"/>
        <charset val="204"/>
      </rPr>
      <t>Поддержание благоустроенности и санитарного состояния муниципального образования «Город Астрахань»</t>
    </r>
  </si>
  <si>
    <r>
      <rPr>
        <b/>
        <sz val="13"/>
        <color theme="1"/>
        <rFont val="Times New Roman"/>
        <family val="1"/>
        <charset val="204"/>
      </rPr>
      <t>Задача 1.1.</t>
    </r>
    <r>
      <rPr>
        <sz val="13"/>
        <color theme="1"/>
        <rFont val="Times New Roman"/>
        <family val="1"/>
        <charset val="204"/>
      </rPr>
      <t xml:space="preserve"> Содержание, строительство и благоустройство мест захоронений</t>
    </r>
  </si>
  <si>
    <r>
      <rPr>
        <b/>
        <sz val="13"/>
        <color theme="1"/>
        <rFont val="Times New Roman"/>
        <family val="1"/>
        <charset val="204"/>
      </rPr>
      <t xml:space="preserve">Основное мероприятие 1.1.1. </t>
    </r>
    <r>
      <rPr>
        <sz val="13"/>
        <color theme="1"/>
        <rFont val="Times New Roman"/>
        <family val="1"/>
        <charset val="204"/>
      </rPr>
      <t>Организация и обеспечение надлежащей эксплуатации и содержание мест захоронений</t>
    </r>
  </si>
  <si>
    <r>
      <rPr>
        <b/>
        <sz val="13"/>
        <color theme="1"/>
        <rFont val="Times New Roman"/>
        <family val="1"/>
        <charset val="204"/>
      </rPr>
      <t xml:space="preserve">Мероприятие 1. </t>
    </r>
    <r>
      <rPr>
        <sz val="13"/>
        <color theme="1"/>
        <rFont val="Times New Roman"/>
        <family val="1"/>
        <charset val="204"/>
      </rPr>
      <t>Содержание мест захоронения (МБУ г. Астрахани "Чистый город", Управление по коммунальному хозяйству и благоустройству администрации МО "Город Астрахань")</t>
    </r>
  </si>
  <si>
    <r>
      <t xml:space="preserve">Мероприятие 2. </t>
    </r>
    <r>
      <rPr>
        <sz val="13"/>
        <color theme="1"/>
        <rFont val="Times New Roman"/>
        <family val="1"/>
        <charset val="204"/>
      </rPr>
      <t>Строительство кладбища</t>
    </r>
  </si>
  <si>
    <r>
      <t xml:space="preserve">Задача 1.2. </t>
    </r>
    <r>
      <rPr>
        <sz val="13"/>
        <color theme="1"/>
        <rFont val="Times New Roman"/>
        <family val="1"/>
        <charset val="204"/>
      </rPr>
      <t>Благоустройство городских территорий освобожденных от незаканно установленных строений</t>
    </r>
  </si>
  <si>
    <r>
      <t xml:space="preserve">Основное мероприятие 1.2.1. </t>
    </r>
    <r>
      <rPr>
        <sz val="13"/>
        <color theme="1"/>
        <rFont val="Times New Roman"/>
        <family val="1"/>
        <charset val="204"/>
      </rPr>
      <t>Освобождение земельных участков от незаконно установленных строений</t>
    </r>
  </si>
  <si>
    <r>
      <rPr>
        <b/>
        <sz val="13"/>
        <color theme="1"/>
        <rFont val="Times New Roman"/>
        <family val="1"/>
        <charset val="204"/>
      </rPr>
      <t xml:space="preserve">Основное мероприятие 1.3.1. </t>
    </r>
    <r>
      <rPr>
        <sz val="13"/>
        <color theme="1"/>
        <rFont val="Times New Roman"/>
        <family val="1"/>
        <charset val="204"/>
      </rPr>
      <t>Приобретение техники в лизинг</t>
    </r>
  </si>
  <si>
    <r>
      <rPr>
        <b/>
        <sz val="13"/>
        <color theme="1"/>
        <rFont val="Times New Roman"/>
        <family val="1"/>
        <charset val="204"/>
      </rPr>
      <t>Мероприятие 1</t>
    </r>
    <r>
      <rPr>
        <sz val="13"/>
        <color theme="1"/>
        <rFont val="Times New Roman"/>
        <family val="1"/>
        <charset val="204"/>
      </rPr>
      <t xml:space="preserve">. Закупка специализированной техники для муниципальныхучреждений дорожного и коммунального хозяйства </t>
    </r>
  </si>
  <si>
    <r>
      <t xml:space="preserve">Цель 1.1.  </t>
    </r>
    <r>
      <rPr>
        <sz val="13"/>
        <color theme="1"/>
        <rFont val="Times New Roman"/>
        <family val="1"/>
        <charset val="204"/>
      </rPr>
      <t>Поддержание благоприятных и комфортных условий для отдыха и досуга жителей города</t>
    </r>
  </si>
  <si>
    <r>
      <t>Задача 1.1.</t>
    </r>
    <r>
      <rPr>
        <sz val="13"/>
        <color theme="1"/>
        <rFont val="Times New Roman"/>
        <family val="1"/>
        <charset val="204"/>
      </rPr>
      <t xml:space="preserve">  Повышение уровня благоустроенности рекреационных зон в границах МО "Город Астрахань</t>
    </r>
    <r>
      <rPr>
        <b/>
        <sz val="13"/>
        <color theme="1"/>
        <rFont val="Times New Roman"/>
        <family val="1"/>
        <charset val="204"/>
      </rPr>
      <t>"</t>
    </r>
  </si>
  <si>
    <r>
      <rPr>
        <b/>
        <sz val="13"/>
        <color theme="1"/>
        <rFont val="Times New Roman"/>
        <family val="1"/>
        <charset val="204"/>
      </rPr>
      <t xml:space="preserve">Мероприятие 1.1.1. </t>
    </r>
    <r>
      <rPr>
        <sz val="13"/>
        <color theme="1"/>
        <rFont val="Times New Roman"/>
        <family val="1"/>
        <charset val="204"/>
      </rPr>
      <t>Паспортизация объектов внешнего благоустройства</t>
    </r>
  </si>
  <si>
    <r>
      <rPr>
        <b/>
        <sz val="13"/>
        <color theme="1"/>
        <rFont val="Times New Roman"/>
        <family val="1"/>
        <charset val="204"/>
      </rPr>
      <t xml:space="preserve">Мероприятие 1.1.2. </t>
    </r>
    <r>
      <rPr>
        <sz val="13"/>
        <color theme="1"/>
        <rFont val="Times New Roman"/>
        <family val="1"/>
        <charset val="204"/>
      </rPr>
      <t>Содержание зеленых насаждений и скос сорной растительности</t>
    </r>
  </si>
  <si>
    <r>
      <t xml:space="preserve">Мероприятие 1.1.3 </t>
    </r>
    <r>
      <rPr>
        <sz val="13"/>
        <color theme="1"/>
        <rFont val="Times New Roman"/>
        <family val="1"/>
        <charset val="204"/>
      </rPr>
      <t>Комплексное содержание  парков, скверов, набережных ( МБУ г. Астрахани "Зеленый город")</t>
    </r>
  </si>
  <si>
    <r>
      <rPr>
        <b/>
        <sz val="13"/>
        <color theme="1"/>
        <rFont val="Times New Roman"/>
        <family val="1"/>
        <charset val="204"/>
      </rPr>
      <t xml:space="preserve">Мероприятие 1.1.4. </t>
    </r>
    <r>
      <rPr>
        <sz val="13"/>
        <color theme="1"/>
        <rFont val="Times New Roman"/>
        <family val="1"/>
        <charset val="204"/>
      </rPr>
      <t>Освещение города Астрахани</t>
    </r>
  </si>
  <si>
    <r>
      <rPr>
        <b/>
        <sz val="13"/>
        <color theme="1"/>
        <rFont val="Times New Roman"/>
        <family val="1"/>
        <charset val="204"/>
      </rPr>
      <t xml:space="preserve">Мероприятие 1.1.5. </t>
    </r>
    <r>
      <rPr>
        <sz val="13"/>
        <color theme="1"/>
        <rFont val="Times New Roman"/>
        <family val="1"/>
        <charset val="204"/>
      </rPr>
      <t xml:space="preserve">Текущие расходы по благоустройству </t>
    </r>
  </si>
  <si>
    <r>
      <t xml:space="preserve">Мероприятие 1.1.11. </t>
    </r>
    <r>
      <rPr>
        <sz val="13"/>
        <rFont val="Times New Roman"/>
        <family val="1"/>
        <charset val="204"/>
      </rPr>
      <t>Изготовление и установка аншлагов топонимических объектов</t>
    </r>
  </si>
  <si>
    <r>
      <t xml:space="preserve">Задача 1.2. </t>
    </r>
    <r>
      <rPr>
        <sz val="13"/>
        <color theme="1"/>
        <rFont val="Times New Roman"/>
        <family val="1"/>
        <charset val="204"/>
      </rPr>
      <t xml:space="preserve">Организация праздничного пространства на территории МО "Город Астрахань" </t>
    </r>
  </si>
  <si>
    <r>
      <t xml:space="preserve">Мероприятие 1.2.1. </t>
    </r>
    <r>
      <rPr>
        <sz val="13"/>
        <color theme="1"/>
        <rFont val="Times New Roman"/>
        <family val="1"/>
        <charset val="204"/>
      </rPr>
      <t>Организация и содержание новогодней ели и праздничной иллюминации</t>
    </r>
  </si>
  <si>
    <r>
      <t xml:space="preserve">Цель 2.1. </t>
    </r>
    <r>
      <rPr>
        <sz val="13"/>
        <color theme="1"/>
        <rFont val="Times New Roman"/>
        <family val="1"/>
        <charset val="204"/>
      </rPr>
      <t>Повышение качества и комфорта городской среды на территориии города Астрахани</t>
    </r>
  </si>
  <si>
    <r>
      <t xml:space="preserve">Задача 2.1. </t>
    </r>
    <r>
      <rPr>
        <sz val="13"/>
        <color theme="1"/>
        <rFont val="Times New Roman"/>
        <family val="1"/>
        <charset val="204"/>
      </rPr>
      <t>Формирование единых ключевых подходов и приоритетов становления комфортной городской среды на территории города Астрахани с учетом основных подходов территориального развития</t>
    </r>
  </si>
  <si>
    <r>
      <t xml:space="preserve">Мероприятие 2.1.1. </t>
    </r>
    <r>
      <rPr>
        <sz val="13"/>
        <color theme="1"/>
        <rFont val="Times New Roman"/>
        <family val="1"/>
        <charset val="204"/>
      </rPr>
      <t>Благоустройство дворовых территорий многоквартирных домов</t>
    </r>
  </si>
  <si>
    <r>
      <t xml:space="preserve">Мероприятие 2.1.2. </t>
    </r>
    <r>
      <rPr>
        <sz val="13"/>
        <color theme="1"/>
        <rFont val="Times New Roman"/>
        <family val="1"/>
        <charset val="204"/>
      </rPr>
      <t>Благоустройство муниципальных территорий общего пользования (парки, скверы, набережные и т.д.)</t>
    </r>
  </si>
  <si>
    <r>
      <t xml:space="preserve">Мероприятие 2.1.3. </t>
    </r>
    <r>
      <rPr>
        <sz val="13"/>
        <color theme="1"/>
        <rFont val="Times New Roman"/>
        <family val="1"/>
        <charset val="204"/>
      </rPr>
      <t>Разработка проектно-сметной документации по благоустройству дворовых территорий</t>
    </r>
  </si>
  <si>
    <r>
      <t xml:space="preserve">Мероприятие 2.2.1. </t>
    </r>
    <r>
      <rPr>
        <sz val="13"/>
        <color theme="1"/>
        <rFont val="Times New Roman"/>
        <family val="1"/>
        <charset val="204"/>
      </rPr>
      <t>Вовлечение заинтересованных граждан, организаций в реализацию мероприятий по благоустройству территории муниципального образования "Город Астрахань"</t>
    </r>
  </si>
  <si>
    <r>
      <rPr>
        <b/>
        <sz val="13"/>
        <color theme="1"/>
        <rFont val="Times New Roman"/>
        <family val="1"/>
        <charset val="204"/>
      </rPr>
      <t xml:space="preserve"> Мероприятие 1. </t>
    </r>
    <r>
      <rPr>
        <sz val="13"/>
        <color theme="1"/>
        <rFont val="Times New Roman"/>
        <family val="1"/>
        <charset val="204"/>
      </rPr>
      <t xml:space="preserve">  Демонтаж самовольно установленных строений</t>
    </r>
  </si>
  <si>
    <r>
      <rPr>
        <b/>
        <sz val="13"/>
        <color theme="1"/>
        <rFont val="Times New Roman"/>
        <family val="1"/>
        <charset val="204"/>
      </rPr>
      <t>Мероприятие 1.1.6.</t>
    </r>
    <r>
      <rPr>
        <sz val="13"/>
        <color theme="1"/>
        <rFont val="Times New Roman"/>
        <family val="1"/>
        <charset val="204"/>
      </rPr>
      <t>Организация мероприятий  при осуществлении деятельности по обращению с животными без владельцев</t>
    </r>
  </si>
  <si>
    <t>Управление по коммунальному хозяйству и благоустройству администрации МО "Город Астрахань", Администрация муниципального образования "Город Астрахань" Администрации Кировского района, Ленинского района, Советского района, Трусовского района</t>
  </si>
  <si>
    <t>Управление по коммунальному хозяйству и благоустройству администрации МО "Город Астрахань"(МБУ г. Астрахани "Чистый город")</t>
  </si>
  <si>
    <t>Управление по коммунальному хозяйству и благоустройству администраци МО "Город Астрахань"</t>
  </si>
  <si>
    <t>Администрация муниципального образования "Город Астрахань" (Управление экономического развития муниципального образования "Город Астрахань")</t>
  </si>
  <si>
    <r>
      <t xml:space="preserve">Задача 2.2. </t>
    </r>
    <r>
      <rPr>
        <sz val="13"/>
        <color theme="1"/>
        <rFont val="Times New Roman"/>
        <family val="1"/>
        <charset val="204"/>
      </rPr>
      <t>Создание универсальных механизмов вовлеченности заинтересованных граждан, организаций в реализацию мероприятий по благоустройству территории муниципального образования "Город Астрахань"</t>
    </r>
  </si>
  <si>
    <t>Управление по каптальному строительству администрации муниципального образования "Город астрахань"</t>
  </si>
  <si>
    <r>
      <rPr>
        <b/>
        <sz val="13"/>
        <color theme="1"/>
        <rFont val="Times New Roman"/>
        <family val="1"/>
        <charset val="204"/>
      </rPr>
      <t xml:space="preserve">Мероприятие 1.1.8. </t>
    </r>
    <r>
      <rPr>
        <sz val="13"/>
        <color theme="1"/>
        <rFont val="Times New Roman"/>
        <family val="1"/>
        <charset val="204"/>
      </rPr>
      <t>Уборка улиц города</t>
    </r>
  </si>
  <si>
    <r>
      <t xml:space="preserve">Мероприятие 1.1.9. </t>
    </r>
    <r>
      <rPr>
        <sz val="13"/>
        <color theme="1"/>
        <rFont val="Times New Roman"/>
        <family val="1"/>
        <charset val="204"/>
      </rPr>
      <t>Создание условий для массового летнего отдыха населения города Астрахани</t>
    </r>
  </si>
  <si>
    <r>
      <t xml:space="preserve">Мероприятие 1.1.10.  </t>
    </r>
    <r>
      <rPr>
        <sz val="13"/>
        <rFont val="Times New Roman"/>
        <family val="1"/>
        <charset val="204"/>
      </rPr>
      <t>Благоустройство придомовых территорий</t>
    </r>
  </si>
  <si>
    <r>
      <t xml:space="preserve">Мероприятие 1.1.12. </t>
    </r>
    <r>
      <rPr>
        <sz val="13"/>
        <rFont val="Times New Roman"/>
        <family val="1"/>
        <charset val="204"/>
      </rPr>
      <t>Разработка рабочей документации по благоустройству муниципальных территорий общего пользования (парки, скверы, набережные и т.д.)</t>
    </r>
  </si>
  <si>
    <r>
      <t xml:space="preserve">Мероприятие 1.1.14 </t>
    </r>
    <r>
      <rPr>
        <sz val="13"/>
        <rFont val="Times New Roman"/>
        <family val="1"/>
        <charset val="204"/>
      </rPr>
      <t>Обустройство контейнерных площадок</t>
    </r>
  </si>
  <si>
    <t xml:space="preserve">                 Начальник управления                                                                                                                                                                        </t>
  </si>
  <si>
    <t>Ю.Ю. Иванов</t>
  </si>
  <si>
    <r>
      <rPr>
        <b/>
        <sz val="13"/>
        <color theme="1"/>
        <rFont val="Times New Roman"/>
        <family val="1"/>
        <charset val="204"/>
      </rPr>
      <t xml:space="preserve">Мероприятие 1.1.7. </t>
    </r>
    <r>
      <rPr>
        <sz val="13"/>
        <color theme="1"/>
        <rFont val="Times New Roman"/>
        <family val="1"/>
        <charset val="204"/>
      </rPr>
      <t>Устройство приюта для безнадзорных животных на 300 мест в Наримановском районе Астраханской области</t>
    </r>
  </si>
  <si>
    <t>Управление по коммунальному  хозяйству и благоустройству администрации муниципального образования "Города Астрахани"</t>
  </si>
  <si>
    <t>Управление по коммунальному хозяйству и благоустройству администрации МО "Город Астрахань", администрации Кировского района, Ленинского района, Трусовского района, Советского района города Астрахани, Администрация муниципального образования "Город Астрахань" (Управление экономического развития муниципального образования "Город Астрахань");Управление по капитальному строительству администрации МО "Город Астрахань"</t>
  </si>
  <si>
    <t>Управление по коммунальному хозяйству и благоустройству администрации МО "Город Астрахань", администрации Кировского района, Ленинского района, Трусовского района, Советского района горда Астрахани, Администрация муниципального образования "Город Астрахань"(Управление экономического развития муниципального образования "Город Астрахань");Управление по капитальному строительству администрации МО "Город Астрахань"</t>
  </si>
  <si>
    <t>Управление по коммунальному хозяйству и благоустройству администрации МО "Город Астрахань", администрации Кировского района, Ленинского района,                                                                                                                                                                                    Трусовского района, Советского района города Астрахани, Администрация муниципального образования "Город Астрахань" (Управление экономического развития муниципального образования "Город Астрахань");Управление по капитальному строительству администрации МО "Город Астрахань"</t>
  </si>
  <si>
    <t xml:space="preserve">Приложение 3 к постановлению администрации муниципаьного образования 
"Город Астрахань" от________№___________                                                                               Приложение 2 к муниципальной программе муниципального образования
 "Город Астрахань" "Повышение уровня благоустройства и улучшение санитарного состояния города Астрахани  </t>
  </si>
  <si>
    <r>
      <t xml:space="preserve">Мероприятие 1.1.11.   </t>
    </r>
    <r>
      <rPr>
        <sz val="13"/>
        <rFont val="Times New Roman"/>
        <family val="1"/>
        <charset val="204"/>
      </rPr>
      <t>Проведение городского конкурса на лучшее благоустройство и озеленение территорий, прилегающих к многоквартирным домам, предприятиям общественного питания и торговли»</t>
    </r>
  </si>
  <si>
    <t>Управление по коммунальному хозяйству и благоустройству администрации МО "Город Астрахань", администрации Кировского района, Ленинского района, Трусовского района, Советского района города Астрахани, Администрация муниципального образования "Город Астрахань" (Управление экономического развития муниципального образования "Город Астрахань"); Управление по капитальному строительству администрации МО "Город Астрахань"</t>
  </si>
  <si>
    <r>
      <t xml:space="preserve">Мероприятие 1.1.13 </t>
    </r>
    <r>
      <rPr>
        <sz val="13"/>
        <rFont val="Times New Roman"/>
        <family val="1"/>
        <charset val="204"/>
      </rPr>
      <t>Развитие территориальных округов</t>
    </r>
  </si>
  <si>
    <r>
      <t xml:space="preserve">Задача 1.3. </t>
    </r>
    <r>
      <rPr>
        <sz val="13"/>
        <rFont val="Times New Roman"/>
        <family val="1"/>
        <charset val="204"/>
      </rPr>
      <t>Поддержание благоприятных и комфортных условий для отдыха и досуга жителей города</t>
    </r>
  </si>
  <si>
    <r>
      <t xml:space="preserve">Задача 1.4. </t>
    </r>
    <r>
      <rPr>
        <sz val="13"/>
        <color theme="1"/>
        <rFont val="Times New Roman"/>
        <family val="1"/>
        <charset val="204"/>
      </rPr>
      <t>Повышение качества и комфорта городской среды на территориии города Астрахани</t>
    </r>
  </si>
  <si>
    <r>
      <t xml:space="preserve">Задача 1.5. </t>
    </r>
    <r>
      <rPr>
        <sz val="13"/>
        <color theme="1"/>
        <rFont val="Times New Roman"/>
        <family val="1"/>
        <charset val="204"/>
      </rPr>
      <t>Повышение уровня материальной обеспеченности и качества эксплуатации коммунальной инфраструктуры</t>
    </r>
  </si>
  <si>
    <r>
      <t>Основное мероприятие 1.5.1.</t>
    </r>
    <r>
      <rPr>
        <sz val="13"/>
        <color theme="1"/>
        <rFont val="Times New Roman"/>
        <family val="1"/>
        <charset val="204"/>
      </rPr>
      <t>Погашение кредиторской задолженности муниципальных унитарных предприятии перед поставщиками за потребленный природный газ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</si>
</sst>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6">
    <xf numFmtId="0" fontId="0" fillId="0" borderId="0" xfId="0"/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/>
    <xf numFmtId="0" fontId="3" fillId="2" borderId="0" xfId="0" applyFont="1" applyFill="1"/>
    <xf numFmtId="0" fontId="4" fillId="0" borderId="0" xfId="0" applyFont="1" applyAlignment="1"/>
    <xf numFmtId="0" fontId="3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2" fontId="6" fillId="2" borderId="9" xfId="0" applyNumberFormat="1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vertical="center" wrapText="1"/>
    </xf>
    <xf numFmtId="2" fontId="6" fillId="0" borderId="10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2" fontId="6" fillId="2" borderId="11" xfId="0" applyNumberFormat="1" applyFont="1" applyFill="1" applyBorder="1" applyAlignment="1">
      <alignment vertical="center" wrapText="1"/>
    </xf>
    <xf numFmtId="2" fontId="6" fillId="0" borderId="5" xfId="0" applyNumberFormat="1" applyFont="1" applyFill="1" applyBorder="1" applyAlignment="1">
      <alignment vertical="center" wrapText="1"/>
    </xf>
    <xf numFmtId="2" fontId="6" fillId="0" borderId="1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Border="1"/>
    <xf numFmtId="2" fontId="6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/>
    <xf numFmtId="2" fontId="3" fillId="0" borderId="7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/>
    <xf numFmtId="0" fontId="3" fillId="0" borderId="1" xfId="0" applyFont="1" applyBorder="1"/>
    <xf numFmtId="4" fontId="3" fillId="0" borderId="7" xfId="0" applyNumberFormat="1" applyFont="1" applyBorder="1"/>
    <xf numFmtId="0" fontId="3" fillId="0" borderId="7" xfId="0" applyFont="1" applyBorder="1"/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left" vertical="center" wrapText="1"/>
    </xf>
    <xf numFmtId="2" fontId="6" fillId="2" borderId="8" xfId="0" applyNumberFormat="1" applyFont="1" applyFill="1" applyBorder="1" applyAlignment="1">
      <alignment horizontal="left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9"/>
  <sheetViews>
    <sheetView tabSelected="1" view="pageBreakPreview" topLeftCell="F110" zoomScale="73" zoomScaleNormal="100" zoomScaleSheetLayoutView="73" zoomScalePageLayoutView="40" workbookViewId="0">
      <selection activeCell="A33" sqref="A33:A34"/>
    </sheetView>
  </sheetViews>
  <sheetFormatPr defaultColWidth="11.5703125" defaultRowHeight="16.5" x14ac:dyDescent="0.25"/>
  <cols>
    <col min="1" max="1" width="5.5703125" style="4" customWidth="1"/>
    <col min="2" max="2" width="42.5703125" style="5" customWidth="1"/>
    <col min="3" max="3" width="51.5703125" style="4" customWidth="1"/>
    <col min="4" max="4" width="23.28515625" style="4" customWidth="1"/>
    <col min="5" max="5" width="13.5703125" style="4" customWidth="1"/>
    <col min="6" max="6" width="12.7109375" style="4" customWidth="1"/>
    <col min="7" max="7" width="15" style="4" customWidth="1"/>
    <col min="8" max="8" width="15.42578125" style="4" customWidth="1"/>
    <col min="9" max="9" width="21.140625" style="4" customWidth="1"/>
    <col min="10" max="10" width="19.5703125" style="4" customWidth="1"/>
    <col min="11" max="11" width="21.42578125" style="5" customWidth="1"/>
    <col min="12" max="12" width="21.42578125" style="7" customWidth="1"/>
    <col min="13" max="13" width="21.7109375" style="5" customWidth="1"/>
    <col min="14" max="14" width="23.42578125" style="5" customWidth="1"/>
    <col min="15" max="15" width="22" style="5" customWidth="1"/>
    <col min="16" max="16" width="18.7109375" style="7" customWidth="1"/>
    <col min="17" max="17" width="22.28515625" style="7" customWidth="1"/>
    <col min="18" max="18" width="33.85546875" style="4" customWidth="1"/>
    <col min="19" max="19" width="15.5703125" style="4" customWidth="1"/>
    <col min="20" max="247" width="11.5703125" style="4"/>
    <col min="248" max="248" width="4.5703125" style="4" customWidth="1"/>
    <col min="249" max="249" width="29.140625" style="4" customWidth="1"/>
    <col min="250" max="250" width="14.140625" style="4" customWidth="1"/>
    <col min="251" max="251" width="11.5703125" style="4"/>
    <col min="252" max="252" width="10" style="4" customWidth="1"/>
    <col min="253" max="253" width="19.85546875" style="4" customWidth="1"/>
    <col min="254" max="254" width="12.28515625" style="4" customWidth="1"/>
    <col min="255" max="255" width="10" style="4" customWidth="1"/>
    <col min="256" max="256" width="10.140625" style="4" customWidth="1"/>
    <col min="257" max="257" width="10.28515625" style="4" customWidth="1"/>
    <col min="258" max="258" width="10.42578125" style="4" customWidth="1"/>
    <col min="259" max="260" width="10.85546875" style="4" customWidth="1"/>
    <col min="261" max="261" width="9.7109375" style="4" customWidth="1"/>
    <col min="262" max="262" width="12.85546875" style="4" customWidth="1"/>
    <col min="263" max="503" width="11.5703125" style="4"/>
    <col min="504" max="504" width="4.5703125" style="4" customWidth="1"/>
    <col min="505" max="505" width="29.140625" style="4" customWidth="1"/>
    <col min="506" max="506" width="14.140625" style="4" customWidth="1"/>
    <col min="507" max="507" width="11.5703125" style="4"/>
    <col min="508" max="508" width="10" style="4" customWidth="1"/>
    <col min="509" max="509" width="19.85546875" style="4" customWidth="1"/>
    <col min="510" max="510" width="12.28515625" style="4" customWidth="1"/>
    <col min="511" max="511" width="10" style="4" customWidth="1"/>
    <col min="512" max="512" width="10.140625" style="4" customWidth="1"/>
    <col min="513" max="513" width="10.28515625" style="4" customWidth="1"/>
    <col min="514" max="514" width="10.42578125" style="4" customWidth="1"/>
    <col min="515" max="516" width="10.85546875" style="4" customWidth="1"/>
    <col min="517" max="517" width="9.7109375" style="4" customWidth="1"/>
    <col min="518" max="518" width="12.85546875" style="4" customWidth="1"/>
    <col min="519" max="759" width="11.5703125" style="4"/>
    <col min="760" max="760" width="4.5703125" style="4" customWidth="1"/>
    <col min="761" max="761" width="29.140625" style="4" customWidth="1"/>
    <col min="762" max="762" width="14.140625" style="4" customWidth="1"/>
    <col min="763" max="763" width="11.5703125" style="4"/>
    <col min="764" max="764" width="10" style="4" customWidth="1"/>
    <col min="765" max="765" width="19.85546875" style="4" customWidth="1"/>
    <col min="766" max="766" width="12.28515625" style="4" customWidth="1"/>
    <col min="767" max="767" width="10" style="4" customWidth="1"/>
    <col min="768" max="768" width="10.140625" style="4" customWidth="1"/>
    <col min="769" max="769" width="10.28515625" style="4" customWidth="1"/>
    <col min="770" max="770" width="10.42578125" style="4" customWidth="1"/>
    <col min="771" max="772" width="10.85546875" style="4" customWidth="1"/>
    <col min="773" max="773" width="9.7109375" style="4" customWidth="1"/>
    <col min="774" max="774" width="12.85546875" style="4" customWidth="1"/>
    <col min="775" max="1015" width="11.5703125" style="4"/>
    <col min="1016" max="1016" width="4.5703125" style="4" customWidth="1"/>
    <col min="1017" max="1017" width="29.140625" style="4" customWidth="1"/>
    <col min="1018" max="1018" width="14.140625" style="4" customWidth="1"/>
    <col min="1019" max="1019" width="11.5703125" style="4"/>
    <col min="1020" max="1020" width="10" style="4" customWidth="1"/>
    <col min="1021" max="1021" width="19.85546875" style="4" customWidth="1"/>
    <col min="1022" max="1022" width="12.28515625" style="4" customWidth="1"/>
    <col min="1023" max="1023" width="10" style="4" customWidth="1"/>
    <col min="1024" max="1024" width="10.140625" style="4" customWidth="1"/>
    <col min="1025" max="1025" width="10.28515625" style="4" customWidth="1"/>
    <col min="1026" max="1026" width="10.42578125" style="4" customWidth="1"/>
    <col min="1027" max="1028" width="10.85546875" style="4" customWidth="1"/>
    <col min="1029" max="1029" width="9.7109375" style="4" customWidth="1"/>
    <col min="1030" max="1030" width="12.85546875" style="4" customWidth="1"/>
    <col min="1031" max="1271" width="11.5703125" style="4"/>
    <col min="1272" max="1272" width="4.5703125" style="4" customWidth="1"/>
    <col min="1273" max="1273" width="29.140625" style="4" customWidth="1"/>
    <col min="1274" max="1274" width="14.140625" style="4" customWidth="1"/>
    <col min="1275" max="1275" width="11.5703125" style="4"/>
    <col min="1276" max="1276" width="10" style="4" customWidth="1"/>
    <col min="1277" max="1277" width="19.85546875" style="4" customWidth="1"/>
    <col min="1278" max="1278" width="12.28515625" style="4" customWidth="1"/>
    <col min="1279" max="1279" width="10" style="4" customWidth="1"/>
    <col min="1280" max="1280" width="10.140625" style="4" customWidth="1"/>
    <col min="1281" max="1281" width="10.28515625" style="4" customWidth="1"/>
    <col min="1282" max="1282" width="10.42578125" style="4" customWidth="1"/>
    <col min="1283" max="1284" width="10.85546875" style="4" customWidth="1"/>
    <col min="1285" max="1285" width="9.7109375" style="4" customWidth="1"/>
    <col min="1286" max="1286" width="12.85546875" style="4" customWidth="1"/>
    <col min="1287" max="1527" width="11.5703125" style="4"/>
    <col min="1528" max="1528" width="4.5703125" style="4" customWidth="1"/>
    <col min="1529" max="1529" width="29.140625" style="4" customWidth="1"/>
    <col min="1530" max="1530" width="14.140625" style="4" customWidth="1"/>
    <col min="1531" max="1531" width="11.5703125" style="4"/>
    <col min="1532" max="1532" width="10" style="4" customWidth="1"/>
    <col min="1533" max="1533" width="19.85546875" style="4" customWidth="1"/>
    <col min="1534" max="1534" width="12.28515625" style="4" customWidth="1"/>
    <col min="1535" max="1535" width="10" style="4" customWidth="1"/>
    <col min="1536" max="1536" width="10.140625" style="4" customWidth="1"/>
    <col min="1537" max="1537" width="10.28515625" style="4" customWidth="1"/>
    <col min="1538" max="1538" width="10.42578125" style="4" customWidth="1"/>
    <col min="1539" max="1540" width="10.85546875" style="4" customWidth="1"/>
    <col min="1541" max="1541" width="9.7109375" style="4" customWidth="1"/>
    <col min="1542" max="1542" width="12.85546875" style="4" customWidth="1"/>
    <col min="1543" max="1783" width="11.5703125" style="4"/>
    <col min="1784" max="1784" width="4.5703125" style="4" customWidth="1"/>
    <col min="1785" max="1785" width="29.140625" style="4" customWidth="1"/>
    <col min="1786" max="1786" width="14.140625" style="4" customWidth="1"/>
    <col min="1787" max="1787" width="11.5703125" style="4"/>
    <col min="1788" max="1788" width="10" style="4" customWidth="1"/>
    <col min="1789" max="1789" width="19.85546875" style="4" customWidth="1"/>
    <col min="1790" max="1790" width="12.28515625" style="4" customWidth="1"/>
    <col min="1791" max="1791" width="10" style="4" customWidth="1"/>
    <col min="1792" max="1792" width="10.140625" style="4" customWidth="1"/>
    <col min="1793" max="1793" width="10.28515625" style="4" customWidth="1"/>
    <col min="1794" max="1794" width="10.42578125" style="4" customWidth="1"/>
    <col min="1795" max="1796" width="10.85546875" style="4" customWidth="1"/>
    <col min="1797" max="1797" width="9.7109375" style="4" customWidth="1"/>
    <col min="1798" max="1798" width="12.85546875" style="4" customWidth="1"/>
    <col min="1799" max="2039" width="11.5703125" style="4"/>
    <col min="2040" max="2040" width="4.5703125" style="4" customWidth="1"/>
    <col min="2041" max="2041" width="29.140625" style="4" customWidth="1"/>
    <col min="2042" max="2042" width="14.140625" style="4" customWidth="1"/>
    <col min="2043" max="2043" width="11.5703125" style="4"/>
    <col min="2044" max="2044" width="10" style="4" customWidth="1"/>
    <col min="2045" max="2045" width="19.85546875" style="4" customWidth="1"/>
    <col min="2046" max="2046" width="12.28515625" style="4" customWidth="1"/>
    <col min="2047" max="2047" width="10" style="4" customWidth="1"/>
    <col min="2048" max="2048" width="10.140625" style="4" customWidth="1"/>
    <col min="2049" max="2049" width="10.28515625" style="4" customWidth="1"/>
    <col min="2050" max="2050" width="10.42578125" style="4" customWidth="1"/>
    <col min="2051" max="2052" width="10.85546875" style="4" customWidth="1"/>
    <col min="2053" max="2053" width="9.7109375" style="4" customWidth="1"/>
    <col min="2054" max="2054" width="12.85546875" style="4" customWidth="1"/>
    <col min="2055" max="2295" width="11.5703125" style="4"/>
    <col min="2296" max="2296" width="4.5703125" style="4" customWidth="1"/>
    <col min="2297" max="2297" width="29.140625" style="4" customWidth="1"/>
    <col min="2298" max="2298" width="14.140625" style="4" customWidth="1"/>
    <col min="2299" max="2299" width="11.5703125" style="4"/>
    <col min="2300" max="2300" width="10" style="4" customWidth="1"/>
    <col min="2301" max="2301" width="19.85546875" style="4" customWidth="1"/>
    <col min="2302" max="2302" width="12.28515625" style="4" customWidth="1"/>
    <col min="2303" max="2303" width="10" style="4" customWidth="1"/>
    <col min="2304" max="2304" width="10.140625" style="4" customWidth="1"/>
    <col min="2305" max="2305" width="10.28515625" style="4" customWidth="1"/>
    <col min="2306" max="2306" width="10.42578125" style="4" customWidth="1"/>
    <col min="2307" max="2308" width="10.85546875" style="4" customWidth="1"/>
    <col min="2309" max="2309" width="9.7109375" style="4" customWidth="1"/>
    <col min="2310" max="2310" width="12.85546875" style="4" customWidth="1"/>
    <col min="2311" max="2551" width="11.5703125" style="4"/>
    <col min="2552" max="2552" width="4.5703125" style="4" customWidth="1"/>
    <col min="2553" max="2553" width="29.140625" style="4" customWidth="1"/>
    <col min="2554" max="2554" width="14.140625" style="4" customWidth="1"/>
    <col min="2555" max="2555" width="11.5703125" style="4"/>
    <col min="2556" max="2556" width="10" style="4" customWidth="1"/>
    <col min="2557" max="2557" width="19.85546875" style="4" customWidth="1"/>
    <col min="2558" max="2558" width="12.28515625" style="4" customWidth="1"/>
    <col min="2559" max="2559" width="10" style="4" customWidth="1"/>
    <col min="2560" max="2560" width="10.140625" style="4" customWidth="1"/>
    <col min="2561" max="2561" width="10.28515625" style="4" customWidth="1"/>
    <col min="2562" max="2562" width="10.42578125" style="4" customWidth="1"/>
    <col min="2563" max="2564" width="10.85546875" style="4" customWidth="1"/>
    <col min="2565" max="2565" width="9.7109375" style="4" customWidth="1"/>
    <col min="2566" max="2566" width="12.85546875" style="4" customWidth="1"/>
    <col min="2567" max="2807" width="11.5703125" style="4"/>
    <col min="2808" max="2808" width="4.5703125" style="4" customWidth="1"/>
    <col min="2809" max="2809" width="29.140625" style="4" customWidth="1"/>
    <col min="2810" max="2810" width="14.140625" style="4" customWidth="1"/>
    <col min="2811" max="2811" width="11.5703125" style="4"/>
    <col min="2812" max="2812" width="10" style="4" customWidth="1"/>
    <col min="2813" max="2813" width="19.85546875" style="4" customWidth="1"/>
    <col min="2814" max="2814" width="12.28515625" style="4" customWidth="1"/>
    <col min="2815" max="2815" width="10" style="4" customWidth="1"/>
    <col min="2816" max="2816" width="10.140625" style="4" customWidth="1"/>
    <col min="2817" max="2817" width="10.28515625" style="4" customWidth="1"/>
    <col min="2818" max="2818" width="10.42578125" style="4" customWidth="1"/>
    <col min="2819" max="2820" width="10.85546875" style="4" customWidth="1"/>
    <col min="2821" max="2821" width="9.7109375" style="4" customWidth="1"/>
    <col min="2822" max="2822" width="12.85546875" style="4" customWidth="1"/>
    <col min="2823" max="3063" width="11.5703125" style="4"/>
    <col min="3064" max="3064" width="4.5703125" style="4" customWidth="1"/>
    <col min="3065" max="3065" width="29.140625" style="4" customWidth="1"/>
    <col min="3066" max="3066" width="14.140625" style="4" customWidth="1"/>
    <col min="3067" max="3067" width="11.5703125" style="4"/>
    <col min="3068" max="3068" width="10" style="4" customWidth="1"/>
    <col min="3069" max="3069" width="19.85546875" style="4" customWidth="1"/>
    <col min="3070" max="3070" width="12.28515625" style="4" customWidth="1"/>
    <col min="3071" max="3071" width="10" style="4" customWidth="1"/>
    <col min="3072" max="3072" width="10.140625" style="4" customWidth="1"/>
    <col min="3073" max="3073" width="10.28515625" style="4" customWidth="1"/>
    <col min="3074" max="3074" width="10.42578125" style="4" customWidth="1"/>
    <col min="3075" max="3076" width="10.85546875" style="4" customWidth="1"/>
    <col min="3077" max="3077" width="9.7109375" style="4" customWidth="1"/>
    <col min="3078" max="3078" width="12.85546875" style="4" customWidth="1"/>
    <col min="3079" max="3319" width="11.5703125" style="4"/>
    <col min="3320" max="3320" width="4.5703125" style="4" customWidth="1"/>
    <col min="3321" max="3321" width="29.140625" style="4" customWidth="1"/>
    <col min="3322" max="3322" width="14.140625" style="4" customWidth="1"/>
    <col min="3323" max="3323" width="11.5703125" style="4"/>
    <col min="3324" max="3324" width="10" style="4" customWidth="1"/>
    <col min="3325" max="3325" width="19.85546875" style="4" customWidth="1"/>
    <col min="3326" max="3326" width="12.28515625" style="4" customWidth="1"/>
    <col min="3327" max="3327" width="10" style="4" customWidth="1"/>
    <col min="3328" max="3328" width="10.140625" style="4" customWidth="1"/>
    <col min="3329" max="3329" width="10.28515625" style="4" customWidth="1"/>
    <col min="3330" max="3330" width="10.42578125" style="4" customWidth="1"/>
    <col min="3331" max="3332" width="10.85546875" style="4" customWidth="1"/>
    <col min="3333" max="3333" width="9.7109375" style="4" customWidth="1"/>
    <col min="3334" max="3334" width="12.85546875" style="4" customWidth="1"/>
    <col min="3335" max="3575" width="11.5703125" style="4"/>
    <col min="3576" max="3576" width="4.5703125" style="4" customWidth="1"/>
    <col min="3577" max="3577" width="29.140625" style="4" customWidth="1"/>
    <col min="3578" max="3578" width="14.140625" style="4" customWidth="1"/>
    <col min="3579" max="3579" width="11.5703125" style="4"/>
    <col min="3580" max="3580" width="10" style="4" customWidth="1"/>
    <col min="3581" max="3581" width="19.85546875" style="4" customWidth="1"/>
    <col min="3582" max="3582" width="12.28515625" style="4" customWidth="1"/>
    <col min="3583" max="3583" width="10" style="4" customWidth="1"/>
    <col min="3584" max="3584" width="10.140625" style="4" customWidth="1"/>
    <col min="3585" max="3585" width="10.28515625" style="4" customWidth="1"/>
    <col min="3586" max="3586" width="10.42578125" style="4" customWidth="1"/>
    <col min="3587" max="3588" width="10.85546875" style="4" customWidth="1"/>
    <col min="3589" max="3589" width="9.7109375" style="4" customWidth="1"/>
    <col min="3590" max="3590" width="12.85546875" style="4" customWidth="1"/>
    <col min="3591" max="3831" width="11.5703125" style="4"/>
    <col min="3832" max="3832" width="4.5703125" style="4" customWidth="1"/>
    <col min="3833" max="3833" width="29.140625" style="4" customWidth="1"/>
    <col min="3834" max="3834" width="14.140625" style="4" customWidth="1"/>
    <col min="3835" max="3835" width="11.5703125" style="4"/>
    <col min="3836" max="3836" width="10" style="4" customWidth="1"/>
    <col min="3837" max="3837" width="19.85546875" style="4" customWidth="1"/>
    <col min="3838" max="3838" width="12.28515625" style="4" customWidth="1"/>
    <col min="3839" max="3839" width="10" style="4" customWidth="1"/>
    <col min="3840" max="3840" width="10.140625" style="4" customWidth="1"/>
    <col min="3841" max="3841" width="10.28515625" style="4" customWidth="1"/>
    <col min="3842" max="3842" width="10.42578125" style="4" customWidth="1"/>
    <col min="3843" max="3844" width="10.85546875" style="4" customWidth="1"/>
    <col min="3845" max="3845" width="9.7109375" style="4" customWidth="1"/>
    <col min="3846" max="3846" width="12.85546875" style="4" customWidth="1"/>
    <col min="3847" max="4087" width="11.5703125" style="4"/>
    <col min="4088" max="4088" width="4.5703125" style="4" customWidth="1"/>
    <col min="4089" max="4089" width="29.140625" style="4" customWidth="1"/>
    <col min="4090" max="4090" width="14.140625" style="4" customWidth="1"/>
    <col min="4091" max="4091" width="11.5703125" style="4"/>
    <col min="4092" max="4092" width="10" style="4" customWidth="1"/>
    <col min="4093" max="4093" width="19.85546875" style="4" customWidth="1"/>
    <col min="4094" max="4094" width="12.28515625" style="4" customWidth="1"/>
    <col min="4095" max="4095" width="10" style="4" customWidth="1"/>
    <col min="4096" max="4096" width="10.140625" style="4" customWidth="1"/>
    <col min="4097" max="4097" width="10.28515625" style="4" customWidth="1"/>
    <col min="4098" max="4098" width="10.42578125" style="4" customWidth="1"/>
    <col min="4099" max="4100" width="10.85546875" style="4" customWidth="1"/>
    <col min="4101" max="4101" width="9.7109375" style="4" customWidth="1"/>
    <col min="4102" max="4102" width="12.85546875" style="4" customWidth="1"/>
    <col min="4103" max="4343" width="11.5703125" style="4"/>
    <col min="4344" max="4344" width="4.5703125" style="4" customWidth="1"/>
    <col min="4345" max="4345" width="29.140625" style="4" customWidth="1"/>
    <col min="4346" max="4346" width="14.140625" style="4" customWidth="1"/>
    <col min="4347" max="4347" width="11.5703125" style="4"/>
    <col min="4348" max="4348" width="10" style="4" customWidth="1"/>
    <col min="4349" max="4349" width="19.85546875" style="4" customWidth="1"/>
    <col min="4350" max="4350" width="12.28515625" style="4" customWidth="1"/>
    <col min="4351" max="4351" width="10" style="4" customWidth="1"/>
    <col min="4352" max="4352" width="10.140625" style="4" customWidth="1"/>
    <col min="4353" max="4353" width="10.28515625" style="4" customWidth="1"/>
    <col min="4354" max="4354" width="10.42578125" style="4" customWidth="1"/>
    <col min="4355" max="4356" width="10.85546875" style="4" customWidth="1"/>
    <col min="4357" max="4357" width="9.7109375" style="4" customWidth="1"/>
    <col min="4358" max="4358" width="12.85546875" style="4" customWidth="1"/>
    <col min="4359" max="4599" width="11.5703125" style="4"/>
    <col min="4600" max="4600" width="4.5703125" style="4" customWidth="1"/>
    <col min="4601" max="4601" width="29.140625" style="4" customWidth="1"/>
    <col min="4602" max="4602" width="14.140625" style="4" customWidth="1"/>
    <col min="4603" max="4603" width="11.5703125" style="4"/>
    <col min="4604" max="4604" width="10" style="4" customWidth="1"/>
    <col min="4605" max="4605" width="19.85546875" style="4" customWidth="1"/>
    <col min="4606" max="4606" width="12.28515625" style="4" customWidth="1"/>
    <col min="4607" max="4607" width="10" style="4" customWidth="1"/>
    <col min="4608" max="4608" width="10.140625" style="4" customWidth="1"/>
    <col min="4609" max="4609" width="10.28515625" style="4" customWidth="1"/>
    <col min="4610" max="4610" width="10.42578125" style="4" customWidth="1"/>
    <col min="4611" max="4612" width="10.85546875" style="4" customWidth="1"/>
    <col min="4613" max="4613" width="9.7109375" style="4" customWidth="1"/>
    <col min="4614" max="4614" width="12.85546875" style="4" customWidth="1"/>
    <col min="4615" max="4855" width="11.5703125" style="4"/>
    <col min="4856" max="4856" width="4.5703125" style="4" customWidth="1"/>
    <col min="4857" max="4857" width="29.140625" style="4" customWidth="1"/>
    <col min="4858" max="4858" width="14.140625" style="4" customWidth="1"/>
    <col min="4859" max="4859" width="11.5703125" style="4"/>
    <col min="4860" max="4860" width="10" style="4" customWidth="1"/>
    <col min="4861" max="4861" width="19.85546875" style="4" customWidth="1"/>
    <col min="4862" max="4862" width="12.28515625" style="4" customWidth="1"/>
    <col min="4863" max="4863" width="10" style="4" customWidth="1"/>
    <col min="4864" max="4864" width="10.140625" style="4" customWidth="1"/>
    <col min="4865" max="4865" width="10.28515625" style="4" customWidth="1"/>
    <col min="4866" max="4866" width="10.42578125" style="4" customWidth="1"/>
    <col min="4867" max="4868" width="10.85546875" style="4" customWidth="1"/>
    <col min="4869" max="4869" width="9.7109375" style="4" customWidth="1"/>
    <col min="4870" max="4870" width="12.85546875" style="4" customWidth="1"/>
    <col min="4871" max="5111" width="11.5703125" style="4"/>
    <col min="5112" max="5112" width="4.5703125" style="4" customWidth="1"/>
    <col min="5113" max="5113" width="29.140625" style="4" customWidth="1"/>
    <col min="5114" max="5114" width="14.140625" style="4" customWidth="1"/>
    <col min="5115" max="5115" width="11.5703125" style="4"/>
    <col min="5116" max="5116" width="10" style="4" customWidth="1"/>
    <col min="5117" max="5117" width="19.85546875" style="4" customWidth="1"/>
    <col min="5118" max="5118" width="12.28515625" style="4" customWidth="1"/>
    <col min="5119" max="5119" width="10" style="4" customWidth="1"/>
    <col min="5120" max="5120" width="10.140625" style="4" customWidth="1"/>
    <col min="5121" max="5121" width="10.28515625" style="4" customWidth="1"/>
    <col min="5122" max="5122" width="10.42578125" style="4" customWidth="1"/>
    <col min="5123" max="5124" width="10.85546875" style="4" customWidth="1"/>
    <col min="5125" max="5125" width="9.7109375" style="4" customWidth="1"/>
    <col min="5126" max="5126" width="12.85546875" style="4" customWidth="1"/>
    <col min="5127" max="5367" width="11.5703125" style="4"/>
    <col min="5368" max="5368" width="4.5703125" style="4" customWidth="1"/>
    <col min="5369" max="5369" width="29.140625" style="4" customWidth="1"/>
    <col min="5370" max="5370" width="14.140625" style="4" customWidth="1"/>
    <col min="5371" max="5371" width="11.5703125" style="4"/>
    <col min="5372" max="5372" width="10" style="4" customWidth="1"/>
    <col min="5373" max="5373" width="19.85546875" style="4" customWidth="1"/>
    <col min="5374" max="5374" width="12.28515625" style="4" customWidth="1"/>
    <col min="5375" max="5375" width="10" style="4" customWidth="1"/>
    <col min="5376" max="5376" width="10.140625" style="4" customWidth="1"/>
    <col min="5377" max="5377" width="10.28515625" style="4" customWidth="1"/>
    <col min="5378" max="5378" width="10.42578125" style="4" customWidth="1"/>
    <col min="5379" max="5380" width="10.85546875" style="4" customWidth="1"/>
    <col min="5381" max="5381" width="9.7109375" style="4" customWidth="1"/>
    <col min="5382" max="5382" width="12.85546875" style="4" customWidth="1"/>
    <col min="5383" max="5623" width="11.5703125" style="4"/>
    <col min="5624" max="5624" width="4.5703125" style="4" customWidth="1"/>
    <col min="5625" max="5625" width="29.140625" style="4" customWidth="1"/>
    <col min="5626" max="5626" width="14.140625" style="4" customWidth="1"/>
    <col min="5627" max="5627" width="11.5703125" style="4"/>
    <col min="5628" max="5628" width="10" style="4" customWidth="1"/>
    <col min="5629" max="5629" width="19.85546875" style="4" customWidth="1"/>
    <col min="5630" max="5630" width="12.28515625" style="4" customWidth="1"/>
    <col min="5631" max="5631" width="10" style="4" customWidth="1"/>
    <col min="5632" max="5632" width="10.140625" style="4" customWidth="1"/>
    <col min="5633" max="5633" width="10.28515625" style="4" customWidth="1"/>
    <col min="5634" max="5634" width="10.42578125" style="4" customWidth="1"/>
    <col min="5635" max="5636" width="10.85546875" style="4" customWidth="1"/>
    <col min="5637" max="5637" width="9.7109375" style="4" customWidth="1"/>
    <col min="5638" max="5638" width="12.85546875" style="4" customWidth="1"/>
    <col min="5639" max="5879" width="11.5703125" style="4"/>
    <col min="5880" max="5880" width="4.5703125" style="4" customWidth="1"/>
    <col min="5881" max="5881" width="29.140625" style="4" customWidth="1"/>
    <col min="5882" max="5882" width="14.140625" style="4" customWidth="1"/>
    <col min="5883" max="5883" width="11.5703125" style="4"/>
    <col min="5884" max="5884" width="10" style="4" customWidth="1"/>
    <col min="5885" max="5885" width="19.85546875" style="4" customWidth="1"/>
    <col min="5886" max="5886" width="12.28515625" style="4" customWidth="1"/>
    <col min="5887" max="5887" width="10" style="4" customWidth="1"/>
    <col min="5888" max="5888" width="10.140625" style="4" customWidth="1"/>
    <col min="5889" max="5889" width="10.28515625" style="4" customWidth="1"/>
    <col min="5890" max="5890" width="10.42578125" style="4" customWidth="1"/>
    <col min="5891" max="5892" width="10.85546875" style="4" customWidth="1"/>
    <col min="5893" max="5893" width="9.7109375" style="4" customWidth="1"/>
    <col min="5894" max="5894" width="12.85546875" style="4" customWidth="1"/>
    <col min="5895" max="6135" width="11.5703125" style="4"/>
    <col min="6136" max="6136" width="4.5703125" style="4" customWidth="1"/>
    <col min="6137" max="6137" width="29.140625" style="4" customWidth="1"/>
    <col min="6138" max="6138" width="14.140625" style="4" customWidth="1"/>
    <col min="6139" max="6139" width="11.5703125" style="4"/>
    <col min="6140" max="6140" width="10" style="4" customWidth="1"/>
    <col min="6141" max="6141" width="19.85546875" style="4" customWidth="1"/>
    <col min="6142" max="6142" width="12.28515625" style="4" customWidth="1"/>
    <col min="6143" max="6143" width="10" style="4" customWidth="1"/>
    <col min="6144" max="6144" width="10.140625" style="4" customWidth="1"/>
    <col min="6145" max="6145" width="10.28515625" style="4" customWidth="1"/>
    <col min="6146" max="6146" width="10.42578125" style="4" customWidth="1"/>
    <col min="6147" max="6148" width="10.85546875" style="4" customWidth="1"/>
    <col min="6149" max="6149" width="9.7109375" style="4" customWidth="1"/>
    <col min="6150" max="6150" width="12.85546875" style="4" customWidth="1"/>
    <col min="6151" max="6391" width="11.5703125" style="4"/>
    <col min="6392" max="6392" width="4.5703125" style="4" customWidth="1"/>
    <col min="6393" max="6393" width="29.140625" style="4" customWidth="1"/>
    <col min="6394" max="6394" width="14.140625" style="4" customWidth="1"/>
    <col min="6395" max="6395" width="11.5703125" style="4"/>
    <col min="6396" max="6396" width="10" style="4" customWidth="1"/>
    <col min="6397" max="6397" width="19.85546875" style="4" customWidth="1"/>
    <col min="6398" max="6398" width="12.28515625" style="4" customWidth="1"/>
    <col min="6399" max="6399" width="10" style="4" customWidth="1"/>
    <col min="6400" max="6400" width="10.140625" style="4" customWidth="1"/>
    <col min="6401" max="6401" width="10.28515625" style="4" customWidth="1"/>
    <col min="6402" max="6402" width="10.42578125" style="4" customWidth="1"/>
    <col min="6403" max="6404" width="10.85546875" style="4" customWidth="1"/>
    <col min="6405" max="6405" width="9.7109375" style="4" customWidth="1"/>
    <col min="6406" max="6406" width="12.85546875" style="4" customWidth="1"/>
    <col min="6407" max="6647" width="11.5703125" style="4"/>
    <col min="6648" max="6648" width="4.5703125" style="4" customWidth="1"/>
    <col min="6649" max="6649" width="29.140625" style="4" customWidth="1"/>
    <col min="6650" max="6650" width="14.140625" style="4" customWidth="1"/>
    <col min="6651" max="6651" width="11.5703125" style="4"/>
    <col min="6652" max="6652" width="10" style="4" customWidth="1"/>
    <col min="6653" max="6653" width="19.85546875" style="4" customWidth="1"/>
    <col min="6654" max="6654" width="12.28515625" style="4" customWidth="1"/>
    <col min="6655" max="6655" width="10" style="4" customWidth="1"/>
    <col min="6656" max="6656" width="10.140625" style="4" customWidth="1"/>
    <col min="6657" max="6657" width="10.28515625" style="4" customWidth="1"/>
    <col min="6658" max="6658" width="10.42578125" style="4" customWidth="1"/>
    <col min="6659" max="6660" width="10.85546875" style="4" customWidth="1"/>
    <col min="6661" max="6661" width="9.7109375" style="4" customWidth="1"/>
    <col min="6662" max="6662" width="12.85546875" style="4" customWidth="1"/>
    <col min="6663" max="6903" width="11.5703125" style="4"/>
    <col min="6904" max="6904" width="4.5703125" style="4" customWidth="1"/>
    <col min="6905" max="6905" width="29.140625" style="4" customWidth="1"/>
    <col min="6906" max="6906" width="14.140625" style="4" customWidth="1"/>
    <col min="6907" max="6907" width="11.5703125" style="4"/>
    <col min="6908" max="6908" width="10" style="4" customWidth="1"/>
    <col min="6909" max="6909" width="19.85546875" style="4" customWidth="1"/>
    <col min="6910" max="6910" width="12.28515625" style="4" customWidth="1"/>
    <col min="6911" max="6911" width="10" style="4" customWidth="1"/>
    <col min="6912" max="6912" width="10.140625" style="4" customWidth="1"/>
    <col min="6913" max="6913" width="10.28515625" style="4" customWidth="1"/>
    <col min="6914" max="6914" width="10.42578125" style="4" customWidth="1"/>
    <col min="6915" max="6916" width="10.85546875" style="4" customWidth="1"/>
    <col min="6917" max="6917" width="9.7109375" style="4" customWidth="1"/>
    <col min="6918" max="6918" width="12.85546875" style="4" customWidth="1"/>
    <col min="6919" max="7159" width="11.5703125" style="4"/>
    <col min="7160" max="7160" width="4.5703125" style="4" customWidth="1"/>
    <col min="7161" max="7161" width="29.140625" style="4" customWidth="1"/>
    <col min="7162" max="7162" width="14.140625" style="4" customWidth="1"/>
    <col min="7163" max="7163" width="11.5703125" style="4"/>
    <col min="7164" max="7164" width="10" style="4" customWidth="1"/>
    <col min="7165" max="7165" width="19.85546875" style="4" customWidth="1"/>
    <col min="7166" max="7166" width="12.28515625" style="4" customWidth="1"/>
    <col min="7167" max="7167" width="10" style="4" customWidth="1"/>
    <col min="7168" max="7168" width="10.140625" style="4" customWidth="1"/>
    <col min="7169" max="7169" width="10.28515625" style="4" customWidth="1"/>
    <col min="7170" max="7170" width="10.42578125" style="4" customWidth="1"/>
    <col min="7171" max="7172" width="10.85546875" style="4" customWidth="1"/>
    <col min="7173" max="7173" width="9.7109375" style="4" customWidth="1"/>
    <col min="7174" max="7174" width="12.85546875" style="4" customWidth="1"/>
    <col min="7175" max="7415" width="11.5703125" style="4"/>
    <col min="7416" max="7416" width="4.5703125" style="4" customWidth="1"/>
    <col min="7417" max="7417" width="29.140625" style="4" customWidth="1"/>
    <col min="7418" max="7418" width="14.140625" style="4" customWidth="1"/>
    <col min="7419" max="7419" width="11.5703125" style="4"/>
    <col min="7420" max="7420" width="10" style="4" customWidth="1"/>
    <col min="7421" max="7421" width="19.85546875" style="4" customWidth="1"/>
    <col min="7422" max="7422" width="12.28515625" style="4" customWidth="1"/>
    <col min="7423" max="7423" width="10" style="4" customWidth="1"/>
    <col min="7424" max="7424" width="10.140625" style="4" customWidth="1"/>
    <col min="7425" max="7425" width="10.28515625" style="4" customWidth="1"/>
    <col min="7426" max="7426" width="10.42578125" style="4" customWidth="1"/>
    <col min="7427" max="7428" width="10.85546875" style="4" customWidth="1"/>
    <col min="7429" max="7429" width="9.7109375" style="4" customWidth="1"/>
    <col min="7430" max="7430" width="12.85546875" style="4" customWidth="1"/>
    <col min="7431" max="7671" width="11.5703125" style="4"/>
    <col min="7672" max="7672" width="4.5703125" style="4" customWidth="1"/>
    <col min="7673" max="7673" width="29.140625" style="4" customWidth="1"/>
    <col min="7674" max="7674" width="14.140625" style="4" customWidth="1"/>
    <col min="7675" max="7675" width="11.5703125" style="4"/>
    <col min="7676" max="7676" width="10" style="4" customWidth="1"/>
    <col min="7677" max="7677" width="19.85546875" style="4" customWidth="1"/>
    <col min="7678" max="7678" width="12.28515625" style="4" customWidth="1"/>
    <col min="7679" max="7679" width="10" style="4" customWidth="1"/>
    <col min="7680" max="7680" width="10.140625" style="4" customWidth="1"/>
    <col min="7681" max="7681" width="10.28515625" style="4" customWidth="1"/>
    <col min="7682" max="7682" width="10.42578125" style="4" customWidth="1"/>
    <col min="7683" max="7684" width="10.85546875" style="4" customWidth="1"/>
    <col min="7685" max="7685" width="9.7109375" style="4" customWidth="1"/>
    <col min="7686" max="7686" width="12.85546875" style="4" customWidth="1"/>
    <col min="7687" max="7927" width="11.5703125" style="4"/>
    <col min="7928" max="7928" width="4.5703125" style="4" customWidth="1"/>
    <col min="7929" max="7929" width="29.140625" style="4" customWidth="1"/>
    <col min="7930" max="7930" width="14.140625" style="4" customWidth="1"/>
    <col min="7931" max="7931" width="11.5703125" style="4"/>
    <col min="7932" max="7932" width="10" style="4" customWidth="1"/>
    <col min="7933" max="7933" width="19.85546875" style="4" customWidth="1"/>
    <col min="7934" max="7934" width="12.28515625" style="4" customWidth="1"/>
    <col min="7935" max="7935" width="10" style="4" customWidth="1"/>
    <col min="7936" max="7936" width="10.140625" style="4" customWidth="1"/>
    <col min="7937" max="7937" width="10.28515625" style="4" customWidth="1"/>
    <col min="7938" max="7938" width="10.42578125" style="4" customWidth="1"/>
    <col min="7939" max="7940" width="10.85546875" style="4" customWidth="1"/>
    <col min="7941" max="7941" width="9.7109375" style="4" customWidth="1"/>
    <col min="7942" max="7942" width="12.85546875" style="4" customWidth="1"/>
    <col min="7943" max="8183" width="11.5703125" style="4"/>
    <col min="8184" max="8184" width="4.5703125" style="4" customWidth="1"/>
    <col min="8185" max="8185" width="29.140625" style="4" customWidth="1"/>
    <col min="8186" max="8186" width="14.140625" style="4" customWidth="1"/>
    <col min="8187" max="8187" width="11.5703125" style="4"/>
    <col min="8188" max="8188" width="10" style="4" customWidth="1"/>
    <col min="8189" max="8189" width="19.85546875" style="4" customWidth="1"/>
    <col min="8190" max="8190" width="12.28515625" style="4" customWidth="1"/>
    <col min="8191" max="8191" width="10" style="4" customWidth="1"/>
    <col min="8192" max="8192" width="10.140625" style="4" customWidth="1"/>
    <col min="8193" max="8193" width="10.28515625" style="4" customWidth="1"/>
    <col min="8194" max="8194" width="10.42578125" style="4" customWidth="1"/>
    <col min="8195" max="8196" width="10.85546875" style="4" customWidth="1"/>
    <col min="8197" max="8197" width="9.7109375" style="4" customWidth="1"/>
    <col min="8198" max="8198" width="12.85546875" style="4" customWidth="1"/>
    <col min="8199" max="8439" width="11.5703125" style="4"/>
    <col min="8440" max="8440" width="4.5703125" style="4" customWidth="1"/>
    <col min="8441" max="8441" width="29.140625" style="4" customWidth="1"/>
    <col min="8442" max="8442" width="14.140625" style="4" customWidth="1"/>
    <col min="8443" max="8443" width="11.5703125" style="4"/>
    <col min="8444" max="8444" width="10" style="4" customWidth="1"/>
    <col min="8445" max="8445" width="19.85546875" style="4" customWidth="1"/>
    <col min="8446" max="8446" width="12.28515625" style="4" customWidth="1"/>
    <col min="8447" max="8447" width="10" style="4" customWidth="1"/>
    <col min="8448" max="8448" width="10.140625" style="4" customWidth="1"/>
    <col min="8449" max="8449" width="10.28515625" style="4" customWidth="1"/>
    <col min="8450" max="8450" width="10.42578125" style="4" customWidth="1"/>
    <col min="8451" max="8452" width="10.85546875" style="4" customWidth="1"/>
    <col min="8453" max="8453" width="9.7109375" style="4" customWidth="1"/>
    <col min="8454" max="8454" width="12.85546875" style="4" customWidth="1"/>
    <col min="8455" max="8695" width="11.5703125" style="4"/>
    <col min="8696" max="8696" width="4.5703125" style="4" customWidth="1"/>
    <col min="8697" max="8697" width="29.140625" style="4" customWidth="1"/>
    <col min="8698" max="8698" width="14.140625" style="4" customWidth="1"/>
    <col min="8699" max="8699" width="11.5703125" style="4"/>
    <col min="8700" max="8700" width="10" style="4" customWidth="1"/>
    <col min="8701" max="8701" width="19.85546875" style="4" customWidth="1"/>
    <col min="8702" max="8702" width="12.28515625" style="4" customWidth="1"/>
    <col min="8703" max="8703" width="10" style="4" customWidth="1"/>
    <col min="8704" max="8704" width="10.140625" style="4" customWidth="1"/>
    <col min="8705" max="8705" width="10.28515625" style="4" customWidth="1"/>
    <col min="8706" max="8706" width="10.42578125" style="4" customWidth="1"/>
    <col min="8707" max="8708" width="10.85546875" style="4" customWidth="1"/>
    <col min="8709" max="8709" width="9.7109375" style="4" customWidth="1"/>
    <col min="8710" max="8710" width="12.85546875" style="4" customWidth="1"/>
    <col min="8711" max="8951" width="11.5703125" style="4"/>
    <col min="8952" max="8952" width="4.5703125" style="4" customWidth="1"/>
    <col min="8953" max="8953" width="29.140625" style="4" customWidth="1"/>
    <col min="8954" max="8954" width="14.140625" style="4" customWidth="1"/>
    <col min="8955" max="8955" width="11.5703125" style="4"/>
    <col min="8956" max="8956" width="10" style="4" customWidth="1"/>
    <col min="8957" max="8957" width="19.85546875" style="4" customWidth="1"/>
    <col min="8958" max="8958" width="12.28515625" style="4" customWidth="1"/>
    <col min="8959" max="8959" width="10" style="4" customWidth="1"/>
    <col min="8960" max="8960" width="10.140625" style="4" customWidth="1"/>
    <col min="8961" max="8961" width="10.28515625" style="4" customWidth="1"/>
    <col min="8962" max="8962" width="10.42578125" style="4" customWidth="1"/>
    <col min="8963" max="8964" width="10.85546875" style="4" customWidth="1"/>
    <col min="8965" max="8965" width="9.7109375" style="4" customWidth="1"/>
    <col min="8966" max="8966" width="12.85546875" style="4" customWidth="1"/>
    <col min="8967" max="9207" width="11.5703125" style="4"/>
    <col min="9208" max="9208" width="4.5703125" style="4" customWidth="1"/>
    <col min="9209" max="9209" width="29.140625" style="4" customWidth="1"/>
    <col min="9210" max="9210" width="14.140625" style="4" customWidth="1"/>
    <col min="9211" max="9211" width="11.5703125" style="4"/>
    <col min="9212" max="9212" width="10" style="4" customWidth="1"/>
    <col min="9213" max="9213" width="19.85546875" style="4" customWidth="1"/>
    <col min="9214" max="9214" width="12.28515625" style="4" customWidth="1"/>
    <col min="9215" max="9215" width="10" style="4" customWidth="1"/>
    <col min="9216" max="9216" width="10.140625" style="4" customWidth="1"/>
    <col min="9217" max="9217" width="10.28515625" style="4" customWidth="1"/>
    <col min="9218" max="9218" width="10.42578125" style="4" customWidth="1"/>
    <col min="9219" max="9220" width="10.85546875" style="4" customWidth="1"/>
    <col min="9221" max="9221" width="9.7109375" style="4" customWidth="1"/>
    <col min="9222" max="9222" width="12.85546875" style="4" customWidth="1"/>
    <col min="9223" max="9463" width="11.5703125" style="4"/>
    <col min="9464" max="9464" width="4.5703125" style="4" customWidth="1"/>
    <col min="9465" max="9465" width="29.140625" style="4" customWidth="1"/>
    <col min="9466" max="9466" width="14.140625" style="4" customWidth="1"/>
    <col min="9467" max="9467" width="11.5703125" style="4"/>
    <col min="9468" max="9468" width="10" style="4" customWidth="1"/>
    <col min="9469" max="9469" width="19.85546875" style="4" customWidth="1"/>
    <col min="9470" max="9470" width="12.28515625" style="4" customWidth="1"/>
    <col min="9471" max="9471" width="10" style="4" customWidth="1"/>
    <col min="9472" max="9472" width="10.140625" style="4" customWidth="1"/>
    <col min="9473" max="9473" width="10.28515625" style="4" customWidth="1"/>
    <col min="9474" max="9474" width="10.42578125" style="4" customWidth="1"/>
    <col min="9475" max="9476" width="10.85546875" style="4" customWidth="1"/>
    <col min="9477" max="9477" width="9.7109375" style="4" customWidth="1"/>
    <col min="9478" max="9478" width="12.85546875" style="4" customWidth="1"/>
    <col min="9479" max="9719" width="11.5703125" style="4"/>
    <col min="9720" max="9720" width="4.5703125" style="4" customWidth="1"/>
    <col min="9721" max="9721" width="29.140625" style="4" customWidth="1"/>
    <col min="9722" max="9722" width="14.140625" style="4" customWidth="1"/>
    <col min="9723" max="9723" width="11.5703125" style="4"/>
    <col min="9724" max="9724" width="10" style="4" customWidth="1"/>
    <col min="9725" max="9725" width="19.85546875" style="4" customWidth="1"/>
    <col min="9726" max="9726" width="12.28515625" style="4" customWidth="1"/>
    <col min="9727" max="9727" width="10" style="4" customWidth="1"/>
    <col min="9728" max="9728" width="10.140625" style="4" customWidth="1"/>
    <col min="9729" max="9729" width="10.28515625" style="4" customWidth="1"/>
    <col min="9730" max="9730" width="10.42578125" style="4" customWidth="1"/>
    <col min="9731" max="9732" width="10.85546875" style="4" customWidth="1"/>
    <col min="9733" max="9733" width="9.7109375" style="4" customWidth="1"/>
    <col min="9734" max="9734" width="12.85546875" style="4" customWidth="1"/>
    <col min="9735" max="9975" width="11.5703125" style="4"/>
    <col min="9976" max="9976" width="4.5703125" style="4" customWidth="1"/>
    <col min="9977" max="9977" width="29.140625" style="4" customWidth="1"/>
    <col min="9978" max="9978" width="14.140625" style="4" customWidth="1"/>
    <col min="9979" max="9979" width="11.5703125" style="4"/>
    <col min="9980" max="9980" width="10" style="4" customWidth="1"/>
    <col min="9981" max="9981" width="19.85546875" style="4" customWidth="1"/>
    <col min="9982" max="9982" width="12.28515625" style="4" customWidth="1"/>
    <col min="9983" max="9983" width="10" style="4" customWidth="1"/>
    <col min="9984" max="9984" width="10.140625" style="4" customWidth="1"/>
    <col min="9985" max="9985" width="10.28515625" style="4" customWidth="1"/>
    <col min="9986" max="9986" width="10.42578125" style="4" customWidth="1"/>
    <col min="9987" max="9988" width="10.85546875" style="4" customWidth="1"/>
    <col min="9989" max="9989" width="9.7109375" style="4" customWidth="1"/>
    <col min="9990" max="9990" width="12.85546875" style="4" customWidth="1"/>
    <col min="9991" max="10231" width="11.5703125" style="4"/>
    <col min="10232" max="10232" width="4.5703125" style="4" customWidth="1"/>
    <col min="10233" max="10233" width="29.140625" style="4" customWidth="1"/>
    <col min="10234" max="10234" width="14.140625" style="4" customWidth="1"/>
    <col min="10235" max="10235" width="11.5703125" style="4"/>
    <col min="10236" max="10236" width="10" style="4" customWidth="1"/>
    <col min="10237" max="10237" width="19.85546875" style="4" customWidth="1"/>
    <col min="10238" max="10238" width="12.28515625" style="4" customWidth="1"/>
    <col min="10239" max="10239" width="10" style="4" customWidth="1"/>
    <col min="10240" max="10240" width="10.140625" style="4" customWidth="1"/>
    <col min="10241" max="10241" width="10.28515625" style="4" customWidth="1"/>
    <col min="10242" max="10242" width="10.42578125" style="4" customWidth="1"/>
    <col min="10243" max="10244" width="10.85546875" style="4" customWidth="1"/>
    <col min="10245" max="10245" width="9.7109375" style="4" customWidth="1"/>
    <col min="10246" max="10246" width="12.85546875" style="4" customWidth="1"/>
    <col min="10247" max="10487" width="11.5703125" style="4"/>
    <col min="10488" max="10488" width="4.5703125" style="4" customWidth="1"/>
    <col min="10489" max="10489" width="29.140625" style="4" customWidth="1"/>
    <col min="10490" max="10490" width="14.140625" style="4" customWidth="1"/>
    <col min="10491" max="10491" width="11.5703125" style="4"/>
    <col min="10492" max="10492" width="10" style="4" customWidth="1"/>
    <col min="10493" max="10493" width="19.85546875" style="4" customWidth="1"/>
    <col min="10494" max="10494" width="12.28515625" style="4" customWidth="1"/>
    <col min="10495" max="10495" width="10" style="4" customWidth="1"/>
    <col min="10496" max="10496" width="10.140625" style="4" customWidth="1"/>
    <col min="10497" max="10497" width="10.28515625" style="4" customWidth="1"/>
    <col min="10498" max="10498" width="10.42578125" style="4" customWidth="1"/>
    <col min="10499" max="10500" width="10.85546875" style="4" customWidth="1"/>
    <col min="10501" max="10501" width="9.7109375" style="4" customWidth="1"/>
    <col min="10502" max="10502" width="12.85546875" style="4" customWidth="1"/>
    <col min="10503" max="10743" width="11.5703125" style="4"/>
    <col min="10744" max="10744" width="4.5703125" style="4" customWidth="1"/>
    <col min="10745" max="10745" width="29.140625" style="4" customWidth="1"/>
    <col min="10746" max="10746" width="14.140625" style="4" customWidth="1"/>
    <col min="10747" max="10747" width="11.5703125" style="4"/>
    <col min="10748" max="10748" width="10" style="4" customWidth="1"/>
    <col min="10749" max="10749" width="19.85546875" style="4" customWidth="1"/>
    <col min="10750" max="10750" width="12.28515625" style="4" customWidth="1"/>
    <col min="10751" max="10751" width="10" style="4" customWidth="1"/>
    <col min="10752" max="10752" width="10.140625" style="4" customWidth="1"/>
    <col min="10753" max="10753" width="10.28515625" style="4" customWidth="1"/>
    <col min="10754" max="10754" width="10.42578125" style="4" customWidth="1"/>
    <col min="10755" max="10756" width="10.85546875" style="4" customWidth="1"/>
    <col min="10757" max="10757" width="9.7109375" style="4" customWidth="1"/>
    <col min="10758" max="10758" width="12.85546875" style="4" customWidth="1"/>
    <col min="10759" max="10999" width="11.5703125" style="4"/>
    <col min="11000" max="11000" width="4.5703125" style="4" customWidth="1"/>
    <col min="11001" max="11001" width="29.140625" style="4" customWidth="1"/>
    <col min="11002" max="11002" width="14.140625" style="4" customWidth="1"/>
    <col min="11003" max="11003" width="11.5703125" style="4"/>
    <col min="11004" max="11004" width="10" style="4" customWidth="1"/>
    <col min="11005" max="11005" width="19.85546875" style="4" customWidth="1"/>
    <col min="11006" max="11006" width="12.28515625" style="4" customWidth="1"/>
    <col min="11007" max="11007" width="10" style="4" customWidth="1"/>
    <col min="11008" max="11008" width="10.140625" style="4" customWidth="1"/>
    <col min="11009" max="11009" width="10.28515625" style="4" customWidth="1"/>
    <col min="11010" max="11010" width="10.42578125" style="4" customWidth="1"/>
    <col min="11011" max="11012" width="10.85546875" style="4" customWidth="1"/>
    <col min="11013" max="11013" width="9.7109375" style="4" customWidth="1"/>
    <col min="11014" max="11014" width="12.85546875" style="4" customWidth="1"/>
    <col min="11015" max="11255" width="11.5703125" style="4"/>
    <col min="11256" max="11256" width="4.5703125" style="4" customWidth="1"/>
    <col min="11257" max="11257" width="29.140625" style="4" customWidth="1"/>
    <col min="11258" max="11258" width="14.140625" style="4" customWidth="1"/>
    <col min="11259" max="11259" width="11.5703125" style="4"/>
    <col min="11260" max="11260" width="10" style="4" customWidth="1"/>
    <col min="11261" max="11261" width="19.85546875" style="4" customWidth="1"/>
    <col min="11262" max="11262" width="12.28515625" style="4" customWidth="1"/>
    <col min="11263" max="11263" width="10" style="4" customWidth="1"/>
    <col min="11264" max="11264" width="10.140625" style="4" customWidth="1"/>
    <col min="11265" max="11265" width="10.28515625" style="4" customWidth="1"/>
    <col min="11266" max="11266" width="10.42578125" style="4" customWidth="1"/>
    <col min="11267" max="11268" width="10.85546875" style="4" customWidth="1"/>
    <col min="11269" max="11269" width="9.7109375" style="4" customWidth="1"/>
    <col min="11270" max="11270" width="12.85546875" style="4" customWidth="1"/>
    <col min="11271" max="11511" width="11.5703125" style="4"/>
    <col min="11512" max="11512" width="4.5703125" style="4" customWidth="1"/>
    <col min="11513" max="11513" width="29.140625" style="4" customWidth="1"/>
    <col min="11514" max="11514" width="14.140625" style="4" customWidth="1"/>
    <col min="11515" max="11515" width="11.5703125" style="4"/>
    <col min="11516" max="11516" width="10" style="4" customWidth="1"/>
    <col min="11517" max="11517" width="19.85546875" style="4" customWidth="1"/>
    <col min="11518" max="11518" width="12.28515625" style="4" customWidth="1"/>
    <col min="11519" max="11519" width="10" style="4" customWidth="1"/>
    <col min="11520" max="11520" width="10.140625" style="4" customWidth="1"/>
    <col min="11521" max="11521" width="10.28515625" style="4" customWidth="1"/>
    <col min="11522" max="11522" width="10.42578125" style="4" customWidth="1"/>
    <col min="11523" max="11524" width="10.85546875" style="4" customWidth="1"/>
    <col min="11525" max="11525" width="9.7109375" style="4" customWidth="1"/>
    <col min="11526" max="11526" width="12.85546875" style="4" customWidth="1"/>
    <col min="11527" max="11767" width="11.5703125" style="4"/>
    <col min="11768" max="11768" width="4.5703125" style="4" customWidth="1"/>
    <col min="11769" max="11769" width="29.140625" style="4" customWidth="1"/>
    <col min="11770" max="11770" width="14.140625" style="4" customWidth="1"/>
    <col min="11771" max="11771" width="11.5703125" style="4"/>
    <col min="11772" max="11772" width="10" style="4" customWidth="1"/>
    <col min="11773" max="11773" width="19.85546875" style="4" customWidth="1"/>
    <col min="11774" max="11774" width="12.28515625" style="4" customWidth="1"/>
    <col min="11775" max="11775" width="10" style="4" customWidth="1"/>
    <col min="11776" max="11776" width="10.140625" style="4" customWidth="1"/>
    <col min="11777" max="11777" width="10.28515625" style="4" customWidth="1"/>
    <col min="11778" max="11778" width="10.42578125" style="4" customWidth="1"/>
    <col min="11779" max="11780" width="10.85546875" style="4" customWidth="1"/>
    <col min="11781" max="11781" width="9.7109375" style="4" customWidth="1"/>
    <col min="11782" max="11782" width="12.85546875" style="4" customWidth="1"/>
    <col min="11783" max="12023" width="11.5703125" style="4"/>
    <col min="12024" max="12024" width="4.5703125" style="4" customWidth="1"/>
    <col min="12025" max="12025" width="29.140625" style="4" customWidth="1"/>
    <col min="12026" max="12026" width="14.140625" style="4" customWidth="1"/>
    <col min="12027" max="12027" width="11.5703125" style="4"/>
    <col min="12028" max="12028" width="10" style="4" customWidth="1"/>
    <col min="12029" max="12029" width="19.85546875" style="4" customWidth="1"/>
    <col min="12030" max="12030" width="12.28515625" style="4" customWidth="1"/>
    <col min="12031" max="12031" width="10" style="4" customWidth="1"/>
    <col min="12032" max="12032" width="10.140625" style="4" customWidth="1"/>
    <col min="12033" max="12033" width="10.28515625" style="4" customWidth="1"/>
    <col min="12034" max="12034" width="10.42578125" style="4" customWidth="1"/>
    <col min="12035" max="12036" width="10.85546875" style="4" customWidth="1"/>
    <col min="12037" max="12037" width="9.7109375" style="4" customWidth="1"/>
    <col min="12038" max="12038" width="12.85546875" style="4" customWidth="1"/>
    <col min="12039" max="12279" width="11.5703125" style="4"/>
    <col min="12280" max="12280" width="4.5703125" style="4" customWidth="1"/>
    <col min="12281" max="12281" width="29.140625" style="4" customWidth="1"/>
    <col min="12282" max="12282" width="14.140625" style="4" customWidth="1"/>
    <col min="12283" max="12283" width="11.5703125" style="4"/>
    <col min="12284" max="12284" width="10" style="4" customWidth="1"/>
    <col min="12285" max="12285" width="19.85546875" style="4" customWidth="1"/>
    <col min="12286" max="12286" width="12.28515625" style="4" customWidth="1"/>
    <col min="12287" max="12287" width="10" style="4" customWidth="1"/>
    <col min="12288" max="12288" width="10.140625" style="4" customWidth="1"/>
    <col min="12289" max="12289" width="10.28515625" style="4" customWidth="1"/>
    <col min="12290" max="12290" width="10.42578125" style="4" customWidth="1"/>
    <col min="12291" max="12292" width="10.85546875" style="4" customWidth="1"/>
    <col min="12293" max="12293" width="9.7109375" style="4" customWidth="1"/>
    <col min="12294" max="12294" width="12.85546875" style="4" customWidth="1"/>
    <col min="12295" max="12535" width="11.5703125" style="4"/>
    <col min="12536" max="12536" width="4.5703125" style="4" customWidth="1"/>
    <col min="12537" max="12537" width="29.140625" style="4" customWidth="1"/>
    <col min="12538" max="12538" width="14.140625" style="4" customWidth="1"/>
    <col min="12539" max="12539" width="11.5703125" style="4"/>
    <col min="12540" max="12540" width="10" style="4" customWidth="1"/>
    <col min="12541" max="12541" width="19.85546875" style="4" customWidth="1"/>
    <col min="12542" max="12542" width="12.28515625" style="4" customWidth="1"/>
    <col min="12543" max="12543" width="10" style="4" customWidth="1"/>
    <col min="12544" max="12544" width="10.140625" style="4" customWidth="1"/>
    <col min="12545" max="12545" width="10.28515625" style="4" customWidth="1"/>
    <col min="12546" max="12546" width="10.42578125" style="4" customWidth="1"/>
    <col min="12547" max="12548" width="10.85546875" style="4" customWidth="1"/>
    <col min="12549" max="12549" width="9.7109375" style="4" customWidth="1"/>
    <col min="12550" max="12550" width="12.85546875" style="4" customWidth="1"/>
    <col min="12551" max="12791" width="11.5703125" style="4"/>
    <col min="12792" max="12792" width="4.5703125" style="4" customWidth="1"/>
    <col min="12793" max="12793" width="29.140625" style="4" customWidth="1"/>
    <col min="12794" max="12794" width="14.140625" style="4" customWidth="1"/>
    <col min="12795" max="12795" width="11.5703125" style="4"/>
    <col min="12796" max="12796" width="10" style="4" customWidth="1"/>
    <col min="12797" max="12797" width="19.85546875" style="4" customWidth="1"/>
    <col min="12798" max="12798" width="12.28515625" style="4" customWidth="1"/>
    <col min="12799" max="12799" width="10" style="4" customWidth="1"/>
    <col min="12800" max="12800" width="10.140625" style="4" customWidth="1"/>
    <col min="12801" max="12801" width="10.28515625" style="4" customWidth="1"/>
    <col min="12802" max="12802" width="10.42578125" style="4" customWidth="1"/>
    <col min="12803" max="12804" width="10.85546875" style="4" customWidth="1"/>
    <col min="12805" max="12805" width="9.7109375" style="4" customWidth="1"/>
    <col min="12806" max="12806" width="12.85546875" style="4" customWidth="1"/>
    <col min="12807" max="13047" width="11.5703125" style="4"/>
    <col min="13048" max="13048" width="4.5703125" style="4" customWidth="1"/>
    <col min="13049" max="13049" width="29.140625" style="4" customWidth="1"/>
    <col min="13050" max="13050" width="14.140625" style="4" customWidth="1"/>
    <col min="13051" max="13051" width="11.5703125" style="4"/>
    <col min="13052" max="13052" width="10" style="4" customWidth="1"/>
    <col min="13053" max="13053" width="19.85546875" style="4" customWidth="1"/>
    <col min="13054" max="13054" width="12.28515625" style="4" customWidth="1"/>
    <col min="13055" max="13055" width="10" style="4" customWidth="1"/>
    <col min="13056" max="13056" width="10.140625" style="4" customWidth="1"/>
    <col min="13057" max="13057" width="10.28515625" style="4" customWidth="1"/>
    <col min="13058" max="13058" width="10.42578125" style="4" customWidth="1"/>
    <col min="13059" max="13060" width="10.85546875" style="4" customWidth="1"/>
    <col min="13061" max="13061" width="9.7109375" style="4" customWidth="1"/>
    <col min="13062" max="13062" width="12.85546875" style="4" customWidth="1"/>
    <col min="13063" max="13303" width="11.5703125" style="4"/>
    <col min="13304" max="13304" width="4.5703125" style="4" customWidth="1"/>
    <col min="13305" max="13305" width="29.140625" style="4" customWidth="1"/>
    <col min="13306" max="13306" width="14.140625" style="4" customWidth="1"/>
    <col min="13307" max="13307" width="11.5703125" style="4"/>
    <col min="13308" max="13308" width="10" style="4" customWidth="1"/>
    <col min="13309" max="13309" width="19.85546875" style="4" customWidth="1"/>
    <col min="13310" max="13310" width="12.28515625" style="4" customWidth="1"/>
    <col min="13311" max="13311" width="10" style="4" customWidth="1"/>
    <col min="13312" max="13312" width="10.140625" style="4" customWidth="1"/>
    <col min="13313" max="13313" width="10.28515625" style="4" customWidth="1"/>
    <col min="13314" max="13314" width="10.42578125" style="4" customWidth="1"/>
    <col min="13315" max="13316" width="10.85546875" style="4" customWidth="1"/>
    <col min="13317" max="13317" width="9.7109375" style="4" customWidth="1"/>
    <col min="13318" max="13318" width="12.85546875" style="4" customWidth="1"/>
    <col min="13319" max="13559" width="11.5703125" style="4"/>
    <col min="13560" max="13560" width="4.5703125" style="4" customWidth="1"/>
    <col min="13561" max="13561" width="29.140625" style="4" customWidth="1"/>
    <col min="13562" max="13562" width="14.140625" style="4" customWidth="1"/>
    <col min="13563" max="13563" width="11.5703125" style="4"/>
    <col min="13564" max="13564" width="10" style="4" customWidth="1"/>
    <col min="13565" max="13565" width="19.85546875" style="4" customWidth="1"/>
    <col min="13566" max="13566" width="12.28515625" style="4" customWidth="1"/>
    <col min="13567" max="13567" width="10" style="4" customWidth="1"/>
    <col min="13568" max="13568" width="10.140625" style="4" customWidth="1"/>
    <col min="13569" max="13569" width="10.28515625" style="4" customWidth="1"/>
    <col min="13570" max="13570" width="10.42578125" style="4" customWidth="1"/>
    <col min="13571" max="13572" width="10.85546875" style="4" customWidth="1"/>
    <col min="13573" max="13573" width="9.7109375" style="4" customWidth="1"/>
    <col min="13574" max="13574" width="12.85546875" style="4" customWidth="1"/>
    <col min="13575" max="13815" width="11.5703125" style="4"/>
    <col min="13816" max="13816" width="4.5703125" style="4" customWidth="1"/>
    <col min="13817" max="13817" width="29.140625" style="4" customWidth="1"/>
    <col min="13818" max="13818" width="14.140625" style="4" customWidth="1"/>
    <col min="13819" max="13819" width="11.5703125" style="4"/>
    <col min="13820" max="13820" width="10" style="4" customWidth="1"/>
    <col min="13821" max="13821" width="19.85546875" style="4" customWidth="1"/>
    <col min="13822" max="13822" width="12.28515625" style="4" customWidth="1"/>
    <col min="13823" max="13823" width="10" style="4" customWidth="1"/>
    <col min="13824" max="13824" width="10.140625" style="4" customWidth="1"/>
    <col min="13825" max="13825" width="10.28515625" style="4" customWidth="1"/>
    <col min="13826" max="13826" width="10.42578125" style="4" customWidth="1"/>
    <col min="13827" max="13828" width="10.85546875" style="4" customWidth="1"/>
    <col min="13829" max="13829" width="9.7109375" style="4" customWidth="1"/>
    <col min="13830" max="13830" width="12.85546875" style="4" customWidth="1"/>
    <col min="13831" max="14071" width="11.5703125" style="4"/>
    <col min="14072" max="14072" width="4.5703125" style="4" customWidth="1"/>
    <col min="14073" max="14073" width="29.140625" style="4" customWidth="1"/>
    <col min="14074" max="14074" width="14.140625" style="4" customWidth="1"/>
    <col min="14075" max="14075" width="11.5703125" style="4"/>
    <col min="14076" max="14076" width="10" style="4" customWidth="1"/>
    <col min="14077" max="14077" width="19.85546875" style="4" customWidth="1"/>
    <col min="14078" max="14078" width="12.28515625" style="4" customWidth="1"/>
    <col min="14079" max="14079" width="10" style="4" customWidth="1"/>
    <col min="14080" max="14080" width="10.140625" style="4" customWidth="1"/>
    <col min="14081" max="14081" width="10.28515625" style="4" customWidth="1"/>
    <col min="14082" max="14082" width="10.42578125" style="4" customWidth="1"/>
    <col min="14083" max="14084" width="10.85546875" style="4" customWidth="1"/>
    <col min="14085" max="14085" width="9.7109375" style="4" customWidth="1"/>
    <col min="14086" max="14086" width="12.85546875" style="4" customWidth="1"/>
    <col min="14087" max="14327" width="11.5703125" style="4"/>
    <col min="14328" max="14328" width="4.5703125" style="4" customWidth="1"/>
    <col min="14329" max="14329" width="29.140625" style="4" customWidth="1"/>
    <col min="14330" max="14330" width="14.140625" style="4" customWidth="1"/>
    <col min="14331" max="14331" width="11.5703125" style="4"/>
    <col min="14332" max="14332" width="10" style="4" customWidth="1"/>
    <col min="14333" max="14333" width="19.85546875" style="4" customWidth="1"/>
    <col min="14334" max="14334" width="12.28515625" style="4" customWidth="1"/>
    <col min="14335" max="14335" width="10" style="4" customWidth="1"/>
    <col min="14336" max="14336" width="10.140625" style="4" customWidth="1"/>
    <col min="14337" max="14337" width="10.28515625" style="4" customWidth="1"/>
    <col min="14338" max="14338" width="10.42578125" style="4" customWidth="1"/>
    <col min="14339" max="14340" width="10.85546875" style="4" customWidth="1"/>
    <col min="14341" max="14341" width="9.7109375" style="4" customWidth="1"/>
    <col min="14342" max="14342" width="12.85546875" style="4" customWidth="1"/>
    <col min="14343" max="14583" width="11.5703125" style="4"/>
    <col min="14584" max="14584" width="4.5703125" style="4" customWidth="1"/>
    <col min="14585" max="14585" width="29.140625" style="4" customWidth="1"/>
    <col min="14586" max="14586" width="14.140625" style="4" customWidth="1"/>
    <col min="14587" max="14587" width="11.5703125" style="4"/>
    <col min="14588" max="14588" width="10" style="4" customWidth="1"/>
    <col min="14589" max="14589" width="19.85546875" style="4" customWidth="1"/>
    <col min="14590" max="14590" width="12.28515625" style="4" customWidth="1"/>
    <col min="14591" max="14591" width="10" style="4" customWidth="1"/>
    <col min="14592" max="14592" width="10.140625" style="4" customWidth="1"/>
    <col min="14593" max="14593" width="10.28515625" style="4" customWidth="1"/>
    <col min="14594" max="14594" width="10.42578125" style="4" customWidth="1"/>
    <col min="14595" max="14596" width="10.85546875" style="4" customWidth="1"/>
    <col min="14597" max="14597" width="9.7109375" style="4" customWidth="1"/>
    <col min="14598" max="14598" width="12.85546875" style="4" customWidth="1"/>
    <col min="14599" max="14839" width="11.5703125" style="4"/>
    <col min="14840" max="14840" width="4.5703125" style="4" customWidth="1"/>
    <col min="14841" max="14841" width="29.140625" style="4" customWidth="1"/>
    <col min="14842" max="14842" width="14.140625" style="4" customWidth="1"/>
    <col min="14843" max="14843" width="11.5703125" style="4"/>
    <col min="14844" max="14844" width="10" style="4" customWidth="1"/>
    <col min="14845" max="14845" width="19.85546875" style="4" customWidth="1"/>
    <col min="14846" max="14846" width="12.28515625" style="4" customWidth="1"/>
    <col min="14847" max="14847" width="10" style="4" customWidth="1"/>
    <col min="14848" max="14848" width="10.140625" style="4" customWidth="1"/>
    <col min="14849" max="14849" width="10.28515625" style="4" customWidth="1"/>
    <col min="14850" max="14850" width="10.42578125" style="4" customWidth="1"/>
    <col min="14851" max="14852" width="10.85546875" style="4" customWidth="1"/>
    <col min="14853" max="14853" width="9.7109375" style="4" customWidth="1"/>
    <col min="14854" max="14854" width="12.85546875" style="4" customWidth="1"/>
    <col min="14855" max="15095" width="11.5703125" style="4"/>
    <col min="15096" max="15096" width="4.5703125" style="4" customWidth="1"/>
    <col min="15097" max="15097" width="29.140625" style="4" customWidth="1"/>
    <col min="15098" max="15098" width="14.140625" style="4" customWidth="1"/>
    <col min="15099" max="15099" width="11.5703125" style="4"/>
    <col min="15100" max="15100" width="10" style="4" customWidth="1"/>
    <col min="15101" max="15101" width="19.85546875" style="4" customWidth="1"/>
    <col min="15102" max="15102" width="12.28515625" style="4" customWidth="1"/>
    <col min="15103" max="15103" width="10" style="4" customWidth="1"/>
    <col min="15104" max="15104" width="10.140625" style="4" customWidth="1"/>
    <col min="15105" max="15105" width="10.28515625" style="4" customWidth="1"/>
    <col min="15106" max="15106" width="10.42578125" style="4" customWidth="1"/>
    <col min="15107" max="15108" width="10.85546875" style="4" customWidth="1"/>
    <col min="15109" max="15109" width="9.7109375" style="4" customWidth="1"/>
    <col min="15110" max="15110" width="12.85546875" style="4" customWidth="1"/>
    <col min="15111" max="15351" width="11.5703125" style="4"/>
    <col min="15352" max="15352" width="4.5703125" style="4" customWidth="1"/>
    <col min="15353" max="15353" width="29.140625" style="4" customWidth="1"/>
    <col min="15354" max="15354" width="14.140625" style="4" customWidth="1"/>
    <col min="15355" max="15355" width="11.5703125" style="4"/>
    <col min="15356" max="15356" width="10" style="4" customWidth="1"/>
    <col min="15357" max="15357" width="19.85546875" style="4" customWidth="1"/>
    <col min="15358" max="15358" width="12.28515625" style="4" customWidth="1"/>
    <col min="15359" max="15359" width="10" style="4" customWidth="1"/>
    <col min="15360" max="15360" width="10.140625" style="4" customWidth="1"/>
    <col min="15361" max="15361" width="10.28515625" style="4" customWidth="1"/>
    <col min="15362" max="15362" width="10.42578125" style="4" customWidth="1"/>
    <col min="15363" max="15364" width="10.85546875" style="4" customWidth="1"/>
    <col min="15365" max="15365" width="9.7109375" style="4" customWidth="1"/>
    <col min="15366" max="15366" width="12.85546875" style="4" customWidth="1"/>
    <col min="15367" max="15607" width="11.5703125" style="4"/>
    <col min="15608" max="15608" width="4.5703125" style="4" customWidth="1"/>
    <col min="15609" max="15609" width="29.140625" style="4" customWidth="1"/>
    <col min="15610" max="15610" width="14.140625" style="4" customWidth="1"/>
    <col min="15611" max="15611" width="11.5703125" style="4"/>
    <col min="15612" max="15612" width="10" style="4" customWidth="1"/>
    <col min="15613" max="15613" width="19.85546875" style="4" customWidth="1"/>
    <col min="15614" max="15614" width="12.28515625" style="4" customWidth="1"/>
    <col min="15615" max="15615" width="10" style="4" customWidth="1"/>
    <col min="15616" max="15616" width="10.140625" style="4" customWidth="1"/>
    <col min="15617" max="15617" width="10.28515625" style="4" customWidth="1"/>
    <col min="15618" max="15618" width="10.42578125" style="4" customWidth="1"/>
    <col min="15619" max="15620" width="10.85546875" style="4" customWidth="1"/>
    <col min="15621" max="15621" width="9.7109375" style="4" customWidth="1"/>
    <col min="15622" max="15622" width="12.85546875" style="4" customWidth="1"/>
    <col min="15623" max="15863" width="11.5703125" style="4"/>
    <col min="15864" max="15864" width="4.5703125" style="4" customWidth="1"/>
    <col min="15865" max="15865" width="29.140625" style="4" customWidth="1"/>
    <col min="15866" max="15866" width="14.140625" style="4" customWidth="1"/>
    <col min="15867" max="15867" width="11.5703125" style="4"/>
    <col min="15868" max="15868" width="10" style="4" customWidth="1"/>
    <col min="15869" max="15869" width="19.85546875" style="4" customWidth="1"/>
    <col min="15870" max="15870" width="12.28515625" style="4" customWidth="1"/>
    <col min="15871" max="15871" width="10" style="4" customWidth="1"/>
    <col min="15872" max="15872" width="10.140625" style="4" customWidth="1"/>
    <col min="15873" max="15873" width="10.28515625" style="4" customWidth="1"/>
    <col min="15874" max="15874" width="10.42578125" style="4" customWidth="1"/>
    <col min="15875" max="15876" width="10.85546875" style="4" customWidth="1"/>
    <col min="15877" max="15877" width="9.7109375" style="4" customWidth="1"/>
    <col min="15878" max="15878" width="12.85546875" style="4" customWidth="1"/>
    <col min="15879" max="16119" width="11.5703125" style="4"/>
    <col min="16120" max="16120" width="4.5703125" style="4" customWidth="1"/>
    <col min="16121" max="16121" width="29.140625" style="4" customWidth="1"/>
    <col min="16122" max="16122" width="14.140625" style="4" customWidth="1"/>
    <col min="16123" max="16123" width="11.5703125" style="4"/>
    <col min="16124" max="16124" width="10" style="4" customWidth="1"/>
    <col min="16125" max="16125" width="19.85546875" style="4" customWidth="1"/>
    <col min="16126" max="16126" width="12.28515625" style="4" customWidth="1"/>
    <col min="16127" max="16127" width="10" style="4" customWidth="1"/>
    <col min="16128" max="16128" width="10.140625" style="4" customWidth="1"/>
    <col min="16129" max="16129" width="10.28515625" style="4" customWidth="1"/>
    <col min="16130" max="16130" width="10.42578125" style="4" customWidth="1"/>
    <col min="16131" max="16132" width="10.85546875" style="4" customWidth="1"/>
    <col min="16133" max="16133" width="9.7109375" style="4" customWidth="1"/>
    <col min="16134" max="16134" width="12.85546875" style="4" customWidth="1"/>
    <col min="16135" max="16384" width="11.5703125" style="4"/>
  </cols>
  <sheetData>
    <row r="1" spans="1:19" x14ac:dyDescent="0.25">
      <c r="G1" s="6"/>
      <c r="H1" s="6"/>
      <c r="I1" s="120"/>
      <c r="J1" s="120"/>
      <c r="K1" s="120"/>
      <c r="L1" s="120"/>
    </row>
    <row r="2" spans="1:19" ht="152.25" customHeight="1" x14ac:dyDescent="0.25">
      <c r="G2" s="8"/>
      <c r="H2" s="8"/>
      <c r="I2" s="9"/>
      <c r="J2" s="127" t="s">
        <v>107</v>
      </c>
      <c r="K2" s="127"/>
      <c r="L2" s="127"/>
      <c r="M2" s="127"/>
      <c r="N2" s="127"/>
      <c r="O2" s="127"/>
      <c r="P2" s="127"/>
    </row>
    <row r="3" spans="1:19" ht="12.75" customHeight="1" x14ac:dyDescent="0.25">
      <c r="G3" s="10"/>
      <c r="H3" s="10"/>
      <c r="I3" s="10"/>
      <c r="J3" s="10"/>
      <c r="K3" s="11"/>
      <c r="L3" s="12"/>
    </row>
    <row r="4" spans="1:19" ht="24.75" customHeight="1" x14ac:dyDescent="0.25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9" ht="30.75" customHeight="1" x14ac:dyDescent="0.25">
      <c r="A5" s="125" t="s">
        <v>37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9" s="13" customFormat="1" ht="21" customHeight="1" x14ac:dyDescent="0.25">
      <c r="A6" s="92" t="s">
        <v>0</v>
      </c>
      <c r="B6" s="121" t="s">
        <v>8</v>
      </c>
      <c r="C6" s="92" t="s">
        <v>11</v>
      </c>
      <c r="D6" s="92" t="s">
        <v>12</v>
      </c>
      <c r="E6" s="92" t="s">
        <v>2</v>
      </c>
      <c r="F6" s="92"/>
      <c r="G6" s="92"/>
      <c r="H6" s="92"/>
      <c r="I6" s="122" t="s">
        <v>25</v>
      </c>
      <c r="J6" s="123"/>
      <c r="K6" s="123"/>
      <c r="L6" s="123"/>
      <c r="M6" s="123"/>
      <c r="N6" s="123"/>
      <c r="O6" s="123"/>
      <c r="P6" s="123"/>
      <c r="Q6" s="124"/>
    </row>
    <row r="7" spans="1:19" s="13" customFormat="1" ht="39" customHeight="1" x14ac:dyDescent="0.25">
      <c r="A7" s="92"/>
      <c r="B7" s="121"/>
      <c r="C7" s="92"/>
      <c r="D7" s="92"/>
      <c r="E7" s="14" t="s">
        <v>6</v>
      </c>
      <c r="F7" s="14" t="s">
        <v>4</v>
      </c>
      <c r="G7" s="14" t="s">
        <v>5</v>
      </c>
      <c r="H7" s="14" t="s">
        <v>1</v>
      </c>
      <c r="I7" s="14" t="s">
        <v>7</v>
      </c>
      <c r="J7" s="15" t="s">
        <v>16</v>
      </c>
      <c r="K7" s="16" t="s">
        <v>17</v>
      </c>
      <c r="L7" s="17" t="s">
        <v>18</v>
      </c>
      <c r="M7" s="54" t="s">
        <v>39</v>
      </c>
      <c r="N7" s="54" t="s">
        <v>47</v>
      </c>
      <c r="O7" s="54" t="s">
        <v>55</v>
      </c>
      <c r="P7" s="18" t="s">
        <v>56</v>
      </c>
      <c r="Q7" s="18" t="s">
        <v>57</v>
      </c>
      <c r="R7" s="19"/>
    </row>
    <row r="8" spans="1:19" s="13" customFormat="1" ht="16.5" hidden="1" customHeight="1" x14ac:dyDescent="0.25">
      <c r="A8" s="74">
        <v>1</v>
      </c>
      <c r="B8" s="75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  <c r="H8" s="74">
        <v>8</v>
      </c>
      <c r="I8" s="74">
        <v>9</v>
      </c>
      <c r="J8" s="74">
        <v>10</v>
      </c>
      <c r="K8" s="75">
        <v>11</v>
      </c>
      <c r="L8" s="73">
        <v>12</v>
      </c>
      <c r="M8" s="76">
        <v>13</v>
      </c>
      <c r="N8" s="77">
        <v>14</v>
      </c>
      <c r="O8" s="76">
        <v>15</v>
      </c>
      <c r="P8" s="78">
        <v>16</v>
      </c>
      <c r="Q8" s="78">
        <v>17</v>
      </c>
    </row>
    <row r="9" spans="1:19" s="66" customFormat="1" ht="16.5" customHeight="1" x14ac:dyDescent="0.25">
      <c r="A9" s="70">
        <v>1</v>
      </c>
      <c r="B9" s="72">
        <v>2</v>
      </c>
      <c r="C9" s="70">
        <v>3</v>
      </c>
      <c r="D9" s="70">
        <v>4</v>
      </c>
      <c r="E9" s="70">
        <v>5</v>
      </c>
      <c r="F9" s="70">
        <v>6</v>
      </c>
      <c r="G9" s="70">
        <v>7</v>
      </c>
      <c r="H9" s="70">
        <v>8</v>
      </c>
      <c r="I9" s="70">
        <v>9</v>
      </c>
      <c r="J9" s="70">
        <v>10</v>
      </c>
      <c r="K9" s="72">
        <v>11</v>
      </c>
      <c r="L9" s="71">
        <v>12</v>
      </c>
      <c r="M9" s="54">
        <v>13</v>
      </c>
      <c r="N9" s="56">
        <v>14</v>
      </c>
      <c r="O9" s="54">
        <v>15</v>
      </c>
      <c r="P9" s="18">
        <v>16</v>
      </c>
      <c r="Q9" s="18">
        <v>17</v>
      </c>
    </row>
    <row r="10" spans="1:19" s="13" customFormat="1" ht="29.25" customHeight="1" x14ac:dyDescent="0.25">
      <c r="A10" s="79">
        <v>1</v>
      </c>
      <c r="B10" s="89" t="s">
        <v>14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1"/>
    </row>
    <row r="11" spans="1:19" s="13" customFormat="1" ht="58.5" customHeight="1" x14ac:dyDescent="0.25">
      <c r="A11" s="92">
        <v>2</v>
      </c>
      <c r="B11" s="97" t="s">
        <v>62</v>
      </c>
      <c r="C11" s="107" t="s">
        <v>109</v>
      </c>
      <c r="D11" s="1" t="s">
        <v>9</v>
      </c>
      <c r="E11" s="1" t="s">
        <v>13</v>
      </c>
      <c r="F11" s="1" t="s">
        <v>13</v>
      </c>
      <c r="G11" s="1" t="s">
        <v>13</v>
      </c>
      <c r="H11" s="1" t="s">
        <v>13</v>
      </c>
      <c r="I11" s="2">
        <f>SUM(J11:Q11)</f>
        <v>3396390837.7399998</v>
      </c>
      <c r="J11" s="2">
        <f>J121</f>
        <v>384505850.44</v>
      </c>
      <c r="K11" s="20">
        <f>K15+K19+K28+K26</f>
        <v>439151691.36000001</v>
      </c>
      <c r="L11" s="2">
        <f>L15+L19+L28+L26</f>
        <v>478637326.44999999</v>
      </c>
      <c r="M11" s="20">
        <f>M15+M19+M28+M26+M33</f>
        <v>1009849945.85</v>
      </c>
      <c r="N11" s="20">
        <f t="shared" ref="N11:Q11" si="0">N15+N19+N28+N26</f>
        <v>524038995</v>
      </c>
      <c r="O11" s="20">
        <f t="shared" si="0"/>
        <v>524038995</v>
      </c>
      <c r="P11" s="2">
        <f t="shared" si="0"/>
        <v>19719007.440000001</v>
      </c>
      <c r="Q11" s="2">
        <f t="shared" si="0"/>
        <v>16449026.199999999</v>
      </c>
      <c r="R11" s="49"/>
    </row>
    <row r="12" spans="1:19" s="13" customFormat="1" ht="36" hidden="1" customHeight="1" x14ac:dyDescent="0.25">
      <c r="A12" s="92"/>
      <c r="B12" s="97"/>
      <c r="C12" s="107"/>
      <c r="D12" s="1"/>
      <c r="E12" s="1"/>
      <c r="F12" s="1"/>
      <c r="G12" s="1"/>
      <c r="H12" s="1"/>
      <c r="I12" s="2" t="e">
        <f>J12+K12+L12+M12+#REF!</f>
        <v>#REF!</v>
      </c>
      <c r="J12" s="2"/>
      <c r="K12" s="20"/>
      <c r="L12" s="2"/>
      <c r="M12" s="30"/>
      <c r="N12" s="57"/>
      <c r="O12" s="30"/>
      <c r="P12" s="21"/>
      <c r="Q12" s="21"/>
      <c r="R12" s="49"/>
    </row>
    <row r="13" spans="1:19" s="13" customFormat="1" ht="58.5" customHeight="1" x14ac:dyDescent="0.25">
      <c r="A13" s="92"/>
      <c r="B13" s="97"/>
      <c r="C13" s="107"/>
      <c r="D13" s="1" t="s">
        <v>32</v>
      </c>
      <c r="E13" s="1" t="s">
        <v>13</v>
      </c>
      <c r="F13" s="1" t="s">
        <v>13</v>
      </c>
      <c r="G13" s="1" t="s">
        <v>13</v>
      </c>
      <c r="H13" s="1" t="s">
        <v>13</v>
      </c>
      <c r="I13" s="2">
        <f>J13+K13+L13+M13+N13+O13+P13+Q13</f>
        <v>106509766.19</v>
      </c>
      <c r="J13" s="2">
        <f>J58</f>
        <v>6205500</v>
      </c>
      <c r="K13" s="20">
        <f>K58+K31</f>
        <v>44705596.890000001</v>
      </c>
      <c r="L13" s="2">
        <f>L58</f>
        <v>8111483.2999999998</v>
      </c>
      <c r="M13" s="20">
        <f>M58+M62</f>
        <v>41350284</v>
      </c>
      <c r="N13" s="30">
        <f>N58</f>
        <v>3068451</v>
      </c>
      <c r="O13" s="30">
        <f>O58</f>
        <v>3068451</v>
      </c>
      <c r="P13" s="21">
        <v>0</v>
      </c>
      <c r="Q13" s="21">
        <v>0</v>
      </c>
      <c r="R13" s="49"/>
    </row>
    <row r="14" spans="1:19" s="13" customFormat="1" ht="90.75" customHeight="1" x14ac:dyDescent="0.25">
      <c r="A14" s="92"/>
      <c r="B14" s="97"/>
      <c r="C14" s="107"/>
      <c r="D14" s="1" t="s">
        <v>42</v>
      </c>
      <c r="E14" s="1" t="s">
        <v>13</v>
      </c>
      <c r="F14" s="1" t="s">
        <v>13</v>
      </c>
      <c r="G14" s="1" t="s">
        <v>13</v>
      </c>
      <c r="H14" s="1" t="s">
        <v>13</v>
      </c>
      <c r="I14" s="2">
        <f t="shared" ref="I14:I20" si="1">J14+K14+L14+M14+N14+O14+P14+Q14</f>
        <v>100438120</v>
      </c>
      <c r="J14" s="2">
        <v>0</v>
      </c>
      <c r="K14" s="20">
        <f>K123</f>
        <v>100438120</v>
      </c>
      <c r="L14" s="2">
        <v>0</v>
      </c>
      <c r="M14" s="30">
        <v>0</v>
      </c>
      <c r="N14" s="30">
        <v>0</v>
      </c>
      <c r="O14" s="30">
        <v>0</v>
      </c>
      <c r="P14" s="21">
        <v>0</v>
      </c>
      <c r="Q14" s="21">
        <v>0</v>
      </c>
      <c r="R14" s="49"/>
    </row>
    <row r="15" spans="1:19" s="13" customFormat="1" ht="80.25" customHeight="1" x14ac:dyDescent="0.25">
      <c r="A15" s="14">
        <v>3</v>
      </c>
      <c r="B15" s="22" t="s">
        <v>63</v>
      </c>
      <c r="C15" s="1" t="s">
        <v>29</v>
      </c>
      <c r="D15" s="1" t="s">
        <v>9</v>
      </c>
      <c r="E15" s="1" t="s">
        <v>13</v>
      </c>
      <c r="F15" s="1" t="s">
        <v>13</v>
      </c>
      <c r="G15" s="1" t="s">
        <v>13</v>
      </c>
      <c r="H15" s="1" t="s">
        <v>13</v>
      </c>
      <c r="I15" s="2">
        <f t="shared" si="1"/>
        <v>89848574.549999997</v>
      </c>
      <c r="J15" s="2">
        <f t="shared" ref="J15:O15" si="2">J16</f>
        <v>9533300.5500000007</v>
      </c>
      <c r="K15" s="20">
        <f t="shared" si="2"/>
        <v>13147554.710000001</v>
      </c>
      <c r="L15" s="2">
        <f>L16</f>
        <v>12371408.289999999</v>
      </c>
      <c r="M15" s="30">
        <f t="shared" si="2"/>
        <v>18073437</v>
      </c>
      <c r="N15" s="30">
        <f t="shared" si="2"/>
        <v>18361437</v>
      </c>
      <c r="O15" s="30">
        <f t="shared" si="2"/>
        <v>18361437</v>
      </c>
      <c r="P15" s="21">
        <v>0</v>
      </c>
      <c r="Q15" s="21">
        <v>0</v>
      </c>
      <c r="R15" s="49"/>
    </row>
    <row r="16" spans="1:19" s="13" customFormat="1" ht="113.25" customHeight="1" x14ac:dyDescent="0.25">
      <c r="A16" s="14">
        <v>4</v>
      </c>
      <c r="B16" s="22" t="s">
        <v>64</v>
      </c>
      <c r="C16" s="1" t="s">
        <v>27</v>
      </c>
      <c r="D16" s="1" t="s">
        <v>9</v>
      </c>
      <c r="E16" s="1" t="s">
        <v>13</v>
      </c>
      <c r="F16" s="1" t="s">
        <v>13</v>
      </c>
      <c r="G16" s="1" t="s">
        <v>13</v>
      </c>
      <c r="H16" s="1" t="s">
        <v>13</v>
      </c>
      <c r="I16" s="2">
        <f t="shared" si="1"/>
        <v>89848574.549999997</v>
      </c>
      <c r="J16" s="2">
        <f>J17+J18</f>
        <v>9533300.5500000007</v>
      </c>
      <c r="K16" s="23">
        <f>K17+K18</f>
        <v>13147554.710000001</v>
      </c>
      <c r="L16" s="2">
        <v>12371408.289999999</v>
      </c>
      <c r="M16" s="30">
        <f>M17+M18</f>
        <v>18073437</v>
      </c>
      <c r="N16" s="30">
        <f>N17+N18</f>
        <v>18361437</v>
      </c>
      <c r="O16" s="30">
        <f>O17+O18</f>
        <v>18361437</v>
      </c>
      <c r="P16" s="21">
        <v>0</v>
      </c>
      <c r="Q16" s="21">
        <v>0</v>
      </c>
      <c r="R16" s="49"/>
      <c r="S16" s="24"/>
    </row>
    <row r="17" spans="1:19" s="13" customFormat="1" ht="108" customHeight="1" x14ac:dyDescent="0.25">
      <c r="A17" s="14">
        <v>5</v>
      </c>
      <c r="B17" s="22" t="s">
        <v>65</v>
      </c>
      <c r="C17" s="1" t="s">
        <v>27</v>
      </c>
      <c r="D17" s="1" t="s">
        <v>9</v>
      </c>
      <c r="E17" s="1" t="s">
        <v>13</v>
      </c>
      <c r="F17" s="1" t="s">
        <v>13</v>
      </c>
      <c r="G17" s="1" t="s">
        <v>13</v>
      </c>
      <c r="H17" s="1" t="s">
        <v>13</v>
      </c>
      <c r="I17" s="2">
        <f t="shared" si="1"/>
        <v>80818862.349999994</v>
      </c>
      <c r="J17" s="2">
        <f>5906497.55+597090.8</f>
        <v>6503588.3499999996</v>
      </c>
      <c r="K17" s="2">
        <f>6164146+2000000+6900000-777174.7-1139416.59</f>
        <v>13147554.710000001</v>
      </c>
      <c r="L17" s="2">
        <f>12234868.61+136539.68</f>
        <v>12371408.289999999</v>
      </c>
      <c r="M17" s="30">
        <f>11234868+5126569-288000</f>
        <v>16073437</v>
      </c>
      <c r="N17" s="30">
        <f>11234868+5126569</f>
        <v>16361437</v>
      </c>
      <c r="O17" s="30">
        <f>11234868+5126569</f>
        <v>16361437</v>
      </c>
      <c r="P17" s="21">
        <v>0</v>
      </c>
      <c r="Q17" s="21">
        <v>0</v>
      </c>
      <c r="R17" s="49"/>
      <c r="S17" s="25"/>
    </row>
    <row r="18" spans="1:19" s="13" customFormat="1" ht="72" customHeight="1" x14ac:dyDescent="0.25">
      <c r="A18" s="14">
        <v>6</v>
      </c>
      <c r="B18" s="26" t="s">
        <v>66</v>
      </c>
      <c r="C18" s="1" t="s">
        <v>27</v>
      </c>
      <c r="D18" s="1" t="s">
        <v>9</v>
      </c>
      <c r="E18" s="1" t="s">
        <v>13</v>
      </c>
      <c r="F18" s="1" t="s">
        <v>13</v>
      </c>
      <c r="G18" s="1" t="s">
        <v>13</v>
      </c>
      <c r="H18" s="1" t="s">
        <v>13</v>
      </c>
      <c r="I18" s="2">
        <f t="shared" si="1"/>
        <v>9029712.1999999993</v>
      </c>
      <c r="J18" s="2">
        <f>5208012.5-3240-607951.82-1549472.18-17636.3</f>
        <v>3029712.2</v>
      </c>
      <c r="K18" s="2">
        <v>0</v>
      </c>
      <c r="L18" s="2">
        <v>0</v>
      </c>
      <c r="M18" s="30">
        <f>2000000</f>
        <v>2000000</v>
      </c>
      <c r="N18" s="30">
        <f>2000000</f>
        <v>2000000</v>
      </c>
      <c r="O18" s="30">
        <f>N18</f>
        <v>2000000</v>
      </c>
      <c r="P18" s="21">
        <v>0</v>
      </c>
      <c r="Q18" s="21">
        <v>0</v>
      </c>
      <c r="R18" s="49"/>
    </row>
    <row r="19" spans="1:19" s="13" customFormat="1" ht="73.5" customHeight="1" x14ac:dyDescent="0.25">
      <c r="A19" s="14">
        <v>7</v>
      </c>
      <c r="B19" s="26" t="s">
        <v>67</v>
      </c>
      <c r="C19" s="1" t="s">
        <v>31</v>
      </c>
      <c r="D19" s="1" t="s">
        <v>9</v>
      </c>
      <c r="E19" s="1" t="s">
        <v>13</v>
      </c>
      <c r="F19" s="1" t="s">
        <v>13</v>
      </c>
      <c r="G19" s="1" t="s">
        <v>13</v>
      </c>
      <c r="H19" s="1" t="s">
        <v>13</v>
      </c>
      <c r="I19" s="2">
        <f t="shared" si="1"/>
        <v>16844522.949999999</v>
      </c>
      <c r="J19" s="2">
        <f t="shared" ref="J19:O19" si="3">J20</f>
        <v>2083420.5500000003</v>
      </c>
      <c r="K19" s="2">
        <f t="shared" si="3"/>
        <v>1607599.44</v>
      </c>
      <c r="L19" s="2">
        <f t="shared" si="3"/>
        <v>2916359.91</v>
      </c>
      <c r="M19" s="30">
        <f t="shared" si="3"/>
        <v>3183811.05</v>
      </c>
      <c r="N19" s="30">
        <f t="shared" si="3"/>
        <v>3526666</v>
      </c>
      <c r="O19" s="30">
        <f t="shared" si="3"/>
        <v>3526666</v>
      </c>
      <c r="P19" s="21">
        <v>0</v>
      </c>
      <c r="Q19" s="21">
        <v>0</v>
      </c>
      <c r="R19" s="49"/>
    </row>
    <row r="20" spans="1:19" s="13" customFormat="1" ht="77.25" customHeight="1" x14ac:dyDescent="0.25">
      <c r="A20" s="14">
        <v>8</v>
      </c>
      <c r="B20" s="26" t="s">
        <v>68</v>
      </c>
      <c r="C20" s="1" t="s">
        <v>31</v>
      </c>
      <c r="D20" s="1" t="s">
        <v>9</v>
      </c>
      <c r="E20" s="1" t="s">
        <v>13</v>
      </c>
      <c r="F20" s="1" t="s">
        <v>13</v>
      </c>
      <c r="G20" s="1" t="s">
        <v>13</v>
      </c>
      <c r="H20" s="1" t="s">
        <v>13</v>
      </c>
      <c r="I20" s="2">
        <f t="shared" si="1"/>
        <v>16844522.949999999</v>
      </c>
      <c r="J20" s="2">
        <f t="shared" ref="J20:O20" si="4">J22+J23+J24+J25</f>
        <v>2083420.5500000003</v>
      </c>
      <c r="K20" s="20">
        <f t="shared" si="4"/>
        <v>1607599.44</v>
      </c>
      <c r="L20" s="2">
        <f t="shared" si="4"/>
        <v>2916359.91</v>
      </c>
      <c r="M20" s="30">
        <f t="shared" si="4"/>
        <v>3183811.05</v>
      </c>
      <c r="N20" s="30">
        <f t="shared" si="4"/>
        <v>3526666</v>
      </c>
      <c r="O20" s="30">
        <f t="shared" si="4"/>
        <v>3526666</v>
      </c>
      <c r="P20" s="21">
        <v>0</v>
      </c>
      <c r="Q20" s="21">
        <v>0</v>
      </c>
      <c r="R20" s="49"/>
    </row>
    <row r="21" spans="1:19" s="13" customFormat="1" ht="21" customHeight="1" x14ac:dyDescent="0.25">
      <c r="A21" s="92">
        <v>9</v>
      </c>
      <c r="B21" s="107" t="s">
        <v>87</v>
      </c>
      <c r="C21" s="1" t="s">
        <v>26</v>
      </c>
      <c r="D21" s="99"/>
      <c r="E21" s="100"/>
      <c r="F21" s="100"/>
      <c r="G21" s="100"/>
      <c r="H21" s="100"/>
      <c r="I21" s="100"/>
      <c r="J21" s="100"/>
      <c r="K21" s="100"/>
      <c r="L21" s="101"/>
      <c r="M21" s="59"/>
      <c r="N21" s="57"/>
      <c r="O21" s="30"/>
      <c r="P21" s="21"/>
      <c r="Q21" s="21"/>
      <c r="R21" s="49"/>
    </row>
    <row r="22" spans="1:19" s="13" customFormat="1" ht="65.25" customHeight="1" x14ac:dyDescent="0.25">
      <c r="A22" s="92"/>
      <c r="B22" s="107"/>
      <c r="C22" s="1" t="s">
        <v>23</v>
      </c>
      <c r="D22" s="1" t="s">
        <v>9</v>
      </c>
      <c r="E22" s="1" t="s">
        <v>13</v>
      </c>
      <c r="F22" s="1" t="s">
        <v>13</v>
      </c>
      <c r="G22" s="1" t="s">
        <v>13</v>
      </c>
      <c r="H22" s="1" t="s">
        <v>13</v>
      </c>
      <c r="I22" s="2">
        <f>J22+K22+L22+M22+N22+O22+P22+Q22</f>
        <v>5827625.4100000001</v>
      </c>
      <c r="J22" s="2">
        <v>872845.87</v>
      </c>
      <c r="K22" s="28">
        <f>700652-4632.91</f>
        <v>696019.09</v>
      </c>
      <c r="L22" s="28">
        <v>955083.45</v>
      </c>
      <c r="M22" s="43">
        <f>1034559</f>
        <v>1034559</v>
      </c>
      <c r="N22" s="30">
        <f>1134559</f>
        <v>1134559</v>
      </c>
      <c r="O22" s="30">
        <f>N22</f>
        <v>1134559</v>
      </c>
      <c r="P22" s="21">
        <v>0</v>
      </c>
      <c r="Q22" s="21">
        <v>0</v>
      </c>
      <c r="R22" s="49"/>
    </row>
    <row r="23" spans="1:19" s="13" customFormat="1" ht="56.25" customHeight="1" x14ac:dyDescent="0.25">
      <c r="A23" s="92"/>
      <c r="B23" s="107"/>
      <c r="C23" s="1" t="s">
        <v>21</v>
      </c>
      <c r="D23" s="1" t="s">
        <v>9</v>
      </c>
      <c r="E23" s="1" t="s">
        <v>13</v>
      </c>
      <c r="F23" s="1" t="s">
        <v>13</v>
      </c>
      <c r="G23" s="1" t="s">
        <v>13</v>
      </c>
      <c r="H23" s="1" t="s">
        <v>13</v>
      </c>
      <c r="I23" s="2">
        <f t="shared" ref="I23:I34" si="5">J23+K23+L23+M23+N23+O23+P23+Q23</f>
        <v>5228693.3</v>
      </c>
      <c r="J23" s="2">
        <v>600000</v>
      </c>
      <c r="K23" s="29">
        <f>500000</f>
        <v>500000</v>
      </c>
      <c r="L23" s="28">
        <v>902798.25</v>
      </c>
      <c r="M23" s="43">
        <f>1025895.05</f>
        <v>1025895.05</v>
      </c>
      <c r="N23" s="43">
        <f t="shared" ref="N23" si="6">500000+600000</f>
        <v>1100000</v>
      </c>
      <c r="O23" s="43">
        <f>500000+600000</f>
        <v>1100000</v>
      </c>
      <c r="P23" s="21">
        <v>0</v>
      </c>
      <c r="Q23" s="21">
        <v>0</v>
      </c>
      <c r="R23" s="49"/>
    </row>
    <row r="24" spans="1:19" s="13" customFormat="1" ht="60" customHeight="1" x14ac:dyDescent="0.25">
      <c r="A24" s="92"/>
      <c r="B24" s="107"/>
      <c r="C24" s="1" t="s">
        <v>22</v>
      </c>
      <c r="D24" s="1" t="s">
        <v>9</v>
      </c>
      <c r="E24" s="1" t="s">
        <v>13</v>
      </c>
      <c r="F24" s="1" t="s">
        <v>13</v>
      </c>
      <c r="G24" s="1" t="s">
        <v>13</v>
      </c>
      <c r="H24" s="1" t="s">
        <v>13</v>
      </c>
      <c r="I24" s="2">
        <f t="shared" si="5"/>
        <v>3966399.1799999997</v>
      </c>
      <c r="J24" s="2">
        <v>328022.57</v>
      </c>
      <c r="K24" s="28">
        <f>359536-82901-0.65</f>
        <v>276634.34999999998</v>
      </c>
      <c r="L24" s="28">
        <f>359536+600000-165114.74</f>
        <v>794421.26</v>
      </c>
      <c r="M24" s="55">
        <f>789107</f>
        <v>789107</v>
      </c>
      <c r="N24" s="55">
        <v>889107</v>
      </c>
      <c r="O24" s="55">
        <v>889107</v>
      </c>
      <c r="P24" s="21">
        <v>0</v>
      </c>
      <c r="Q24" s="21">
        <v>0</v>
      </c>
      <c r="R24" s="49"/>
    </row>
    <row r="25" spans="1:19" s="13" customFormat="1" ht="54" customHeight="1" x14ac:dyDescent="0.25">
      <c r="A25" s="92"/>
      <c r="B25" s="107"/>
      <c r="C25" s="1" t="s">
        <v>19</v>
      </c>
      <c r="D25" s="1" t="s">
        <v>9</v>
      </c>
      <c r="E25" s="1" t="s">
        <v>13</v>
      </c>
      <c r="F25" s="1" t="s">
        <v>13</v>
      </c>
      <c r="G25" s="1" t="s">
        <v>13</v>
      </c>
      <c r="H25" s="1" t="s">
        <v>13</v>
      </c>
      <c r="I25" s="2">
        <f t="shared" si="5"/>
        <v>1821805.06</v>
      </c>
      <c r="J25" s="2">
        <v>282552.11</v>
      </c>
      <c r="K25" s="29">
        <f>303000-168054</f>
        <v>134946</v>
      </c>
      <c r="L25" s="28">
        <v>264056.95</v>
      </c>
      <c r="M25" s="55">
        <v>334250</v>
      </c>
      <c r="N25" s="30">
        <v>403000</v>
      </c>
      <c r="O25" s="30">
        <v>403000</v>
      </c>
      <c r="P25" s="21">
        <v>0</v>
      </c>
      <c r="Q25" s="21">
        <v>0</v>
      </c>
      <c r="R25" s="49"/>
    </row>
    <row r="26" spans="1:19" s="13" customFormat="1" ht="74.25" customHeight="1" x14ac:dyDescent="0.25">
      <c r="A26" s="14">
        <v>10</v>
      </c>
      <c r="B26" s="22" t="s">
        <v>69</v>
      </c>
      <c r="C26" s="1" t="s">
        <v>103</v>
      </c>
      <c r="D26" s="1" t="s">
        <v>9</v>
      </c>
      <c r="E26" s="1" t="s">
        <v>13</v>
      </c>
      <c r="F26" s="1" t="s">
        <v>13</v>
      </c>
      <c r="G26" s="1" t="s">
        <v>13</v>
      </c>
      <c r="H26" s="1" t="s">
        <v>13</v>
      </c>
      <c r="I26" s="2">
        <f t="shared" si="5"/>
        <v>105788033.64</v>
      </c>
      <c r="J26" s="2">
        <v>0</v>
      </c>
      <c r="K26" s="29">
        <v>0</v>
      </c>
      <c r="L26" s="28">
        <f>7700000+300000+2460000</f>
        <v>10460000</v>
      </c>
      <c r="M26" s="55">
        <v>19720000</v>
      </c>
      <c r="N26" s="30">
        <v>19720000</v>
      </c>
      <c r="O26" s="30">
        <v>19720000</v>
      </c>
      <c r="P26" s="21">
        <v>19719007.440000001</v>
      </c>
      <c r="Q26" s="21">
        <v>16449026.199999999</v>
      </c>
      <c r="R26" s="49"/>
    </row>
    <row r="27" spans="1:19" s="13" customFormat="1" ht="41.25" hidden="1" customHeight="1" x14ac:dyDescent="0.25">
      <c r="A27" s="14">
        <v>11</v>
      </c>
      <c r="B27" s="22" t="s">
        <v>70</v>
      </c>
      <c r="C27" s="1" t="s">
        <v>48</v>
      </c>
      <c r="D27" s="1" t="s">
        <v>9</v>
      </c>
      <c r="E27" s="1" t="s">
        <v>13</v>
      </c>
      <c r="F27" s="1" t="s">
        <v>13</v>
      </c>
      <c r="G27" s="1" t="s">
        <v>13</v>
      </c>
      <c r="H27" s="1" t="s">
        <v>13</v>
      </c>
      <c r="I27" s="2">
        <f t="shared" si="5"/>
        <v>105788033.64</v>
      </c>
      <c r="J27" s="2">
        <v>0</v>
      </c>
      <c r="K27" s="29">
        <v>0</v>
      </c>
      <c r="L27" s="28">
        <f>7700000+300000+2460000</f>
        <v>10460000</v>
      </c>
      <c r="M27" s="55">
        <v>19720000</v>
      </c>
      <c r="N27" s="30">
        <v>19720000</v>
      </c>
      <c r="O27" s="30">
        <f>O26</f>
        <v>19720000</v>
      </c>
      <c r="P27" s="21">
        <f>P26</f>
        <v>19719007.440000001</v>
      </c>
      <c r="Q27" s="21">
        <f>Q26</f>
        <v>16449026.199999999</v>
      </c>
      <c r="R27" s="49"/>
    </row>
    <row r="28" spans="1:19" s="13" customFormat="1" ht="72" customHeight="1" x14ac:dyDescent="0.25">
      <c r="A28" s="92">
        <v>11</v>
      </c>
      <c r="B28" s="134" t="s">
        <v>111</v>
      </c>
      <c r="C28" s="98" t="s">
        <v>106</v>
      </c>
      <c r="D28" s="1" t="s">
        <v>9</v>
      </c>
      <c r="E28" s="1" t="s">
        <v>13</v>
      </c>
      <c r="F28" s="1" t="s">
        <v>13</v>
      </c>
      <c r="G28" s="1" t="s">
        <v>13</v>
      </c>
      <c r="H28" s="1" t="s">
        <v>13</v>
      </c>
      <c r="I28" s="2">
        <f t="shared" si="5"/>
        <v>2730909706.5999999</v>
      </c>
      <c r="J28" s="2">
        <f t="shared" ref="J28:O28" si="7">J40+J80</f>
        <v>372889129.33999997</v>
      </c>
      <c r="K28" s="20">
        <f t="shared" si="7"/>
        <v>424396537.21000004</v>
      </c>
      <c r="L28" s="2">
        <f t="shared" si="7"/>
        <v>452889558.25</v>
      </c>
      <c r="M28" s="30">
        <f>M40+M80</f>
        <v>515872697.80000001</v>
      </c>
      <c r="N28" s="30">
        <f t="shared" si="7"/>
        <v>482430892</v>
      </c>
      <c r="O28" s="30">
        <f t="shared" si="7"/>
        <v>482430892</v>
      </c>
      <c r="P28" s="21">
        <v>0</v>
      </c>
      <c r="Q28" s="21">
        <v>0</v>
      </c>
      <c r="R28" s="49"/>
    </row>
    <row r="29" spans="1:19" s="13" customFormat="1" ht="127.5" customHeight="1" x14ac:dyDescent="0.25">
      <c r="A29" s="92"/>
      <c r="B29" s="134"/>
      <c r="C29" s="98"/>
      <c r="D29" s="1" t="s">
        <v>32</v>
      </c>
      <c r="E29" s="27" t="s">
        <v>13</v>
      </c>
      <c r="F29" s="27" t="s">
        <v>13</v>
      </c>
      <c r="G29" s="27" t="s">
        <v>13</v>
      </c>
      <c r="H29" s="27" t="s">
        <v>13</v>
      </c>
      <c r="I29" s="2">
        <f t="shared" si="5"/>
        <v>67450497.299999997</v>
      </c>
      <c r="J29" s="21">
        <f>J58</f>
        <v>6205500</v>
      </c>
      <c r="K29" s="30">
        <f>K58</f>
        <v>5646328</v>
      </c>
      <c r="L29" s="21">
        <f>L58</f>
        <v>8111483.2999999998</v>
      </c>
      <c r="M29" s="55">
        <f>M58+M62</f>
        <v>41350284</v>
      </c>
      <c r="N29" s="55">
        <f t="shared" ref="N29:O29" si="8">N58+N62</f>
        <v>3068451</v>
      </c>
      <c r="O29" s="55">
        <f t="shared" si="8"/>
        <v>3068451</v>
      </c>
      <c r="P29" s="21">
        <v>0</v>
      </c>
      <c r="Q29" s="21">
        <v>0</v>
      </c>
      <c r="R29" s="49"/>
    </row>
    <row r="30" spans="1:19" s="13" customFormat="1" ht="35.25" customHeight="1" x14ac:dyDescent="0.25">
      <c r="A30" s="92">
        <v>12</v>
      </c>
      <c r="B30" s="97" t="s">
        <v>112</v>
      </c>
      <c r="C30" s="98" t="s">
        <v>27</v>
      </c>
      <c r="D30" s="1" t="s">
        <v>42</v>
      </c>
      <c r="E30" s="27" t="s">
        <v>13</v>
      </c>
      <c r="F30" s="27" t="s">
        <v>13</v>
      </c>
      <c r="G30" s="27" t="s">
        <v>13</v>
      </c>
      <c r="H30" s="27" t="s">
        <v>13</v>
      </c>
      <c r="I30" s="2">
        <f t="shared" si="5"/>
        <v>100438120</v>
      </c>
      <c r="J30" s="21">
        <v>0</v>
      </c>
      <c r="K30" s="30">
        <f>K97</f>
        <v>100438120</v>
      </c>
      <c r="L30" s="21">
        <v>0</v>
      </c>
      <c r="M30" s="30">
        <v>0</v>
      </c>
      <c r="N30" s="30">
        <v>0</v>
      </c>
      <c r="O30" s="30">
        <v>0</v>
      </c>
      <c r="P30" s="21">
        <v>0</v>
      </c>
      <c r="Q30" s="21">
        <v>0</v>
      </c>
      <c r="R30" s="49"/>
    </row>
    <row r="31" spans="1:19" s="13" customFormat="1" ht="63" customHeight="1" x14ac:dyDescent="0.25">
      <c r="A31" s="92"/>
      <c r="B31" s="97"/>
      <c r="C31" s="98"/>
      <c r="D31" s="1" t="s">
        <v>32</v>
      </c>
      <c r="E31" s="27" t="s">
        <v>13</v>
      </c>
      <c r="F31" s="27" t="s">
        <v>13</v>
      </c>
      <c r="G31" s="27" t="s">
        <v>13</v>
      </c>
      <c r="H31" s="27" t="s">
        <v>13</v>
      </c>
      <c r="I31" s="2">
        <f t="shared" si="5"/>
        <v>39059268.890000001</v>
      </c>
      <c r="J31" s="21">
        <v>0</v>
      </c>
      <c r="K31" s="30">
        <f>K98</f>
        <v>39059268.890000001</v>
      </c>
      <c r="L31" s="21">
        <v>0</v>
      </c>
      <c r="M31" s="30">
        <v>0</v>
      </c>
      <c r="N31" s="30">
        <v>0</v>
      </c>
      <c r="O31" s="30">
        <v>0</v>
      </c>
      <c r="P31" s="21">
        <v>0</v>
      </c>
      <c r="Q31" s="21">
        <v>0</v>
      </c>
      <c r="R31" s="49"/>
    </row>
    <row r="32" spans="1:19" s="13" customFormat="1" ht="57" customHeight="1" x14ac:dyDescent="0.25">
      <c r="A32" s="92"/>
      <c r="B32" s="97"/>
      <c r="C32" s="98"/>
      <c r="D32" s="58" t="s">
        <v>9</v>
      </c>
      <c r="E32" s="61" t="s">
        <v>13</v>
      </c>
      <c r="F32" s="61" t="s">
        <v>13</v>
      </c>
      <c r="G32" s="61" t="s">
        <v>13</v>
      </c>
      <c r="H32" s="61" t="s">
        <v>13</v>
      </c>
      <c r="I32" s="62">
        <f t="shared" si="5"/>
        <v>0</v>
      </c>
      <c r="J32" s="63">
        <v>0</v>
      </c>
      <c r="K32" s="64">
        <v>0</v>
      </c>
      <c r="L32" s="63">
        <v>0</v>
      </c>
      <c r="M32" s="64">
        <v>0</v>
      </c>
      <c r="N32" s="64">
        <v>0</v>
      </c>
      <c r="O32" s="64">
        <v>0</v>
      </c>
      <c r="P32" s="63">
        <v>0</v>
      </c>
      <c r="Q32" s="63">
        <v>0</v>
      </c>
      <c r="R32" s="49"/>
    </row>
    <row r="33" spans="1:18" s="68" customFormat="1" ht="95.25" customHeight="1" x14ac:dyDescent="0.25">
      <c r="A33" s="75">
        <v>13</v>
      </c>
      <c r="B33" s="135" t="s">
        <v>113</v>
      </c>
      <c r="C33" s="58" t="s">
        <v>27</v>
      </c>
      <c r="D33" s="58" t="s">
        <v>9</v>
      </c>
      <c r="E33" s="61" t="s">
        <v>13</v>
      </c>
      <c r="F33" s="61" t="s">
        <v>13</v>
      </c>
      <c r="G33" s="61" t="s">
        <v>13</v>
      </c>
      <c r="H33" s="61" t="s">
        <v>13</v>
      </c>
      <c r="I33" s="62">
        <f t="shared" si="5"/>
        <v>453000000</v>
      </c>
      <c r="J33" s="63">
        <v>0</v>
      </c>
      <c r="K33" s="64">
        <v>0</v>
      </c>
      <c r="L33" s="63">
        <v>0</v>
      </c>
      <c r="M33" s="64">
        <f>M34</f>
        <v>453000000</v>
      </c>
      <c r="N33" s="64">
        <v>0</v>
      </c>
      <c r="O33" s="64">
        <v>0</v>
      </c>
      <c r="P33" s="63">
        <v>0</v>
      </c>
      <c r="Q33" s="63">
        <v>0</v>
      </c>
      <c r="R33" s="67"/>
    </row>
    <row r="34" spans="1:18" s="66" customFormat="1" ht="125.25" customHeight="1" x14ac:dyDescent="0.25">
      <c r="A34" s="81">
        <v>14</v>
      </c>
      <c r="B34" s="80" t="s">
        <v>114</v>
      </c>
      <c r="C34" s="69" t="s">
        <v>27</v>
      </c>
      <c r="D34" s="69" t="s">
        <v>9</v>
      </c>
      <c r="E34" s="27" t="s">
        <v>13</v>
      </c>
      <c r="F34" s="27" t="s">
        <v>13</v>
      </c>
      <c r="G34" s="27" t="s">
        <v>13</v>
      </c>
      <c r="H34" s="27" t="s">
        <v>13</v>
      </c>
      <c r="I34" s="2">
        <f t="shared" si="5"/>
        <v>453000000</v>
      </c>
      <c r="J34" s="21">
        <v>0</v>
      </c>
      <c r="K34" s="30">
        <v>0</v>
      </c>
      <c r="L34" s="21">
        <v>0</v>
      </c>
      <c r="M34" s="30">
        <v>453000000</v>
      </c>
      <c r="N34" s="30">
        <v>0</v>
      </c>
      <c r="O34" s="30">
        <v>0</v>
      </c>
      <c r="P34" s="21">
        <v>0</v>
      </c>
      <c r="Q34" s="21">
        <v>0</v>
      </c>
      <c r="R34" s="65"/>
    </row>
    <row r="35" spans="1:18" s="13" customFormat="1" ht="30" customHeight="1" x14ac:dyDescent="0.25">
      <c r="A35" s="104" t="s">
        <v>15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49"/>
    </row>
    <row r="36" spans="1:18" s="13" customFormat="1" ht="17.25" hidden="1" customHeight="1" x14ac:dyDescent="0.25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4"/>
      <c r="M36" s="59"/>
      <c r="N36" s="57"/>
      <c r="O36" s="30"/>
      <c r="P36" s="21"/>
      <c r="Q36" s="21"/>
      <c r="R36" s="49"/>
    </row>
    <row r="37" spans="1:18" s="13" customFormat="1" ht="15" hidden="1" customHeight="1" x14ac:dyDescent="0.25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8"/>
      <c r="M37" s="59"/>
      <c r="N37" s="57"/>
      <c r="O37" s="30"/>
      <c r="P37" s="21"/>
      <c r="Q37" s="21"/>
      <c r="R37" s="49"/>
    </row>
    <row r="38" spans="1:18" s="13" customFormat="1" ht="61.5" customHeight="1" x14ac:dyDescent="0.25">
      <c r="A38" s="92">
        <v>15</v>
      </c>
      <c r="B38" s="97" t="s">
        <v>71</v>
      </c>
      <c r="C38" s="98" t="s">
        <v>104</v>
      </c>
      <c r="D38" s="1" t="s">
        <v>9</v>
      </c>
      <c r="E38" s="1" t="s">
        <v>13</v>
      </c>
      <c r="F38" s="1" t="s">
        <v>13</v>
      </c>
      <c r="G38" s="1" t="s">
        <v>13</v>
      </c>
      <c r="H38" s="1" t="s">
        <v>13</v>
      </c>
      <c r="I38" s="2">
        <f t="shared" ref="I38:I43" si="9">J38+K38+L38+M38+N38+O38+P38+Q38</f>
        <v>2730909706.5999999</v>
      </c>
      <c r="J38" s="2">
        <f t="shared" ref="J38:O38" si="10">J40+J80</f>
        <v>372889129.33999997</v>
      </c>
      <c r="K38" s="20">
        <f t="shared" si="10"/>
        <v>424396537.21000004</v>
      </c>
      <c r="L38" s="2">
        <f t="shared" si="10"/>
        <v>452889558.25</v>
      </c>
      <c r="M38" s="30">
        <f>M40+M80</f>
        <v>515872697.80000001</v>
      </c>
      <c r="N38" s="30">
        <f t="shared" si="10"/>
        <v>482430892</v>
      </c>
      <c r="O38" s="30">
        <f t="shared" si="10"/>
        <v>482430892</v>
      </c>
      <c r="P38" s="21">
        <v>0</v>
      </c>
      <c r="Q38" s="21">
        <v>0</v>
      </c>
      <c r="R38" s="49"/>
    </row>
    <row r="39" spans="1:18" s="13" customFormat="1" ht="139.5" customHeight="1" x14ac:dyDescent="0.25">
      <c r="A39" s="92"/>
      <c r="B39" s="97"/>
      <c r="C39" s="98"/>
      <c r="D39" s="1" t="s">
        <v>32</v>
      </c>
      <c r="E39" s="1" t="s">
        <v>13</v>
      </c>
      <c r="F39" s="1" t="s">
        <v>13</v>
      </c>
      <c r="G39" s="1" t="s">
        <v>13</v>
      </c>
      <c r="H39" s="1" t="s">
        <v>13</v>
      </c>
      <c r="I39" s="2">
        <f t="shared" si="9"/>
        <v>67450497.299999997</v>
      </c>
      <c r="J39" s="2">
        <f t="shared" ref="J39:O39" si="11">J58</f>
        <v>6205500</v>
      </c>
      <c r="K39" s="20">
        <f t="shared" si="11"/>
        <v>5646328</v>
      </c>
      <c r="L39" s="2">
        <f t="shared" si="11"/>
        <v>8111483.2999999998</v>
      </c>
      <c r="M39" s="30">
        <f>M58+M62</f>
        <v>41350284</v>
      </c>
      <c r="N39" s="30">
        <f t="shared" si="11"/>
        <v>3068451</v>
      </c>
      <c r="O39" s="30">
        <f t="shared" si="11"/>
        <v>3068451</v>
      </c>
      <c r="P39" s="21">
        <v>0</v>
      </c>
      <c r="Q39" s="21">
        <v>0</v>
      </c>
      <c r="R39" s="49"/>
    </row>
    <row r="40" spans="1:18" s="13" customFormat="1" ht="69.75" customHeight="1" x14ac:dyDescent="0.25">
      <c r="A40" s="92">
        <v>16</v>
      </c>
      <c r="B40" s="97" t="s">
        <v>72</v>
      </c>
      <c r="C40" s="98" t="s">
        <v>105</v>
      </c>
      <c r="D40" s="1" t="s">
        <v>9</v>
      </c>
      <c r="E40" s="1" t="s">
        <v>13</v>
      </c>
      <c r="F40" s="1" t="s">
        <v>13</v>
      </c>
      <c r="G40" s="1" t="s">
        <v>13</v>
      </c>
      <c r="H40" s="1" t="s">
        <v>13</v>
      </c>
      <c r="I40" s="2">
        <f t="shared" si="9"/>
        <v>2727014276.8599997</v>
      </c>
      <c r="J40" s="2">
        <f>J42+J43+J49+J50+J51+J63+J64</f>
        <v>372383529.33999997</v>
      </c>
      <c r="K40" s="20">
        <f>K42+K43+K49+K50+K51+K63+K64+K65+K66+K67+K68</f>
        <v>423682368.21000004</v>
      </c>
      <c r="L40" s="2">
        <f>L42+L43+L49+L50+L51+L63+L64+L65+L66+L69+L75+L74</f>
        <v>452291630.50999999</v>
      </c>
      <c r="M40" s="20">
        <f>M42+M43+M49+M50+M51+M63+M64+M65+M66+M69+M75</f>
        <v>514945030.80000001</v>
      </c>
      <c r="N40" s="20">
        <f t="shared" ref="N40:O40" si="12">N42+N43+N49+N50+N51+N63+N64+N65+N66+N69+N75+N74</f>
        <v>481855859</v>
      </c>
      <c r="O40" s="20">
        <f t="shared" si="12"/>
        <v>481855859</v>
      </c>
      <c r="P40" s="21">
        <v>0</v>
      </c>
      <c r="Q40" s="21">
        <v>0</v>
      </c>
      <c r="R40" s="49"/>
    </row>
    <row r="41" spans="1:18" s="13" customFormat="1" ht="122.25" customHeight="1" x14ac:dyDescent="0.25">
      <c r="A41" s="92"/>
      <c r="B41" s="97"/>
      <c r="C41" s="98"/>
      <c r="D41" s="1" t="s">
        <v>32</v>
      </c>
      <c r="E41" s="1" t="s">
        <v>13</v>
      </c>
      <c r="F41" s="1" t="s">
        <v>13</v>
      </c>
      <c r="G41" s="1" t="s">
        <v>13</v>
      </c>
      <c r="H41" s="1" t="s">
        <v>13</v>
      </c>
      <c r="I41" s="2">
        <f t="shared" si="9"/>
        <v>67450497.299999997</v>
      </c>
      <c r="J41" s="2">
        <f t="shared" ref="J41:O41" si="13">J58</f>
        <v>6205500</v>
      </c>
      <c r="K41" s="20">
        <f t="shared" si="13"/>
        <v>5646328</v>
      </c>
      <c r="L41" s="2">
        <f t="shared" si="13"/>
        <v>8111483.2999999998</v>
      </c>
      <c r="M41" s="30">
        <f>M58+M62</f>
        <v>41350284</v>
      </c>
      <c r="N41" s="30">
        <f t="shared" si="13"/>
        <v>3068451</v>
      </c>
      <c r="O41" s="30">
        <f t="shared" si="13"/>
        <v>3068451</v>
      </c>
      <c r="P41" s="21">
        <v>0</v>
      </c>
      <c r="Q41" s="21">
        <v>0</v>
      </c>
      <c r="R41" s="49"/>
    </row>
    <row r="42" spans="1:18" s="13" customFormat="1" ht="85.5" customHeight="1" x14ac:dyDescent="0.25">
      <c r="A42" s="14">
        <v>17</v>
      </c>
      <c r="B42" s="22" t="s">
        <v>73</v>
      </c>
      <c r="C42" s="1" t="s">
        <v>27</v>
      </c>
      <c r="D42" s="1" t="s">
        <v>9</v>
      </c>
      <c r="E42" s="1" t="s">
        <v>13</v>
      </c>
      <c r="F42" s="1" t="s">
        <v>13</v>
      </c>
      <c r="G42" s="1" t="s">
        <v>13</v>
      </c>
      <c r="H42" s="1" t="s">
        <v>13</v>
      </c>
      <c r="I42" s="2">
        <f t="shared" si="9"/>
        <v>10040463.800000001</v>
      </c>
      <c r="J42" s="2">
        <f>5116734.6-597090.8</f>
        <v>4519643.8</v>
      </c>
      <c r="K42" s="2">
        <f>1558210-750000-57020</f>
        <v>751190</v>
      </c>
      <c r="L42" s="2">
        <v>1169630</v>
      </c>
      <c r="M42" s="30">
        <v>1200000</v>
      </c>
      <c r="N42" s="30">
        <v>1200000</v>
      </c>
      <c r="O42" s="30">
        <v>1200000</v>
      </c>
      <c r="P42" s="21">
        <v>0</v>
      </c>
      <c r="Q42" s="21">
        <v>0</v>
      </c>
      <c r="R42" s="49"/>
    </row>
    <row r="43" spans="1:18" s="13" customFormat="1" ht="52.5" customHeight="1" x14ac:dyDescent="0.25">
      <c r="A43" s="92">
        <v>18</v>
      </c>
      <c r="B43" s="107" t="s">
        <v>74</v>
      </c>
      <c r="C43" s="1" t="s">
        <v>28</v>
      </c>
      <c r="D43" s="1" t="s">
        <v>9</v>
      </c>
      <c r="E43" s="1" t="s">
        <v>13</v>
      </c>
      <c r="F43" s="1" t="s">
        <v>13</v>
      </c>
      <c r="G43" s="1" t="s">
        <v>13</v>
      </c>
      <c r="H43" s="1" t="s">
        <v>13</v>
      </c>
      <c r="I43" s="2">
        <f t="shared" si="9"/>
        <v>40443578.549999997</v>
      </c>
      <c r="J43" s="2">
        <f t="shared" ref="J43:O43" si="14">J45+J46+J47+J48</f>
        <v>8372406.8499999996</v>
      </c>
      <c r="K43" s="2">
        <f t="shared" si="14"/>
        <v>7098243.0200000005</v>
      </c>
      <c r="L43" s="2">
        <f t="shared" si="14"/>
        <v>6017626.6799999997</v>
      </c>
      <c r="M43" s="30">
        <f t="shared" si="14"/>
        <v>6096678</v>
      </c>
      <c r="N43" s="30">
        <f t="shared" si="14"/>
        <v>6429312</v>
      </c>
      <c r="O43" s="30">
        <f t="shared" si="14"/>
        <v>6429312</v>
      </c>
      <c r="P43" s="21">
        <v>0</v>
      </c>
      <c r="Q43" s="21">
        <v>0</v>
      </c>
      <c r="R43" s="49"/>
    </row>
    <row r="44" spans="1:18" s="13" customFormat="1" ht="21" customHeight="1" x14ac:dyDescent="0.25">
      <c r="A44" s="92"/>
      <c r="B44" s="107"/>
      <c r="C44" s="1" t="s">
        <v>26</v>
      </c>
      <c r="D44" s="99"/>
      <c r="E44" s="100"/>
      <c r="F44" s="100"/>
      <c r="G44" s="100"/>
      <c r="H44" s="100"/>
      <c r="I44" s="100"/>
      <c r="J44" s="100"/>
      <c r="K44" s="100"/>
      <c r="L44" s="101"/>
      <c r="M44" s="59"/>
      <c r="N44" s="57"/>
      <c r="O44" s="30"/>
      <c r="P44" s="21"/>
      <c r="Q44" s="21"/>
      <c r="R44" s="49"/>
    </row>
    <row r="45" spans="1:18" s="13" customFormat="1" ht="51" customHeight="1" x14ac:dyDescent="0.25">
      <c r="A45" s="92"/>
      <c r="B45" s="107"/>
      <c r="C45" s="1" t="s">
        <v>19</v>
      </c>
      <c r="D45" s="1" t="s">
        <v>9</v>
      </c>
      <c r="E45" s="1" t="s">
        <v>13</v>
      </c>
      <c r="F45" s="1" t="s">
        <v>13</v>
      </c>
      <c r="G45" s="1" t="s">
        <v>13</v>
      </c>
      <c r="H45" s="1" t="s">
        <v>13</v>
      </c>
      <c r="I45" s="2">
        <f>J45+K45+L45+M45+N45+O45+P45+Q45</f>
        <v>9482120.1400000006</v>
      </c>
      <c r="J45" s="2">
        <v>1924953.91</v>
      </c>
      <c r="K45" s="28">
        <f>1932600-260119.13-13036.05</f>
        <v>1659444.82</v>
      </c>
      <c r="L45" s="28">
        <v>1332555.4099999999</v>
      </c>
      <c r="M45" s="55">
        <f>1299966</f>
        <v>1299966</v>
      </c>
      <c r="N45" s="55">
        <v>1632600</v>
      </c>
      <c r="O45" s="55">
        <v>1632600</v>
      </c>
      <c r="P45" s="21">
        <v>0</v>
      </c>
      <c r="Q45" s="21">
        <v>0</v>
      </c>
      <c r="R45" s="49"/>
    </row>
    <row r="46" spans="1:18" s="13" customFormat="1" ht="56.25" customHeight="1" x14ac:dyDescent="0.25">
      <c r="A46" s="92"/>
      <c r="B46" s="107"/>
      <c r="C46" s="1" t="s">
        <v>20</v>
      </c>
      <c r="D46" s="1" t="s">
        <v>9</v>
      </c>
      <c r="E46" s="1" t="s">
        <v>13</v>
      </c>
      <c r="F46" s="1" t="s">
        <v>13</v>
      </c>
      <c r="G46" s="1" t="s">
        <v>13</v>
      </c>
      <c r="H46" s="1" t="s">
        <v>13</v>
      </c>
      <c r="I46" s="2">
        <f>J46+K46+L46+M46+N46+O46+P46+Q46</f>
        <v>11859869.210000001</v>
      </c>
      <c r="J46" s="2">
        <v>2331361.5099999998</v>
      </c>
      <c r="K46" s="28">
        <f>2393405-6265.96</f>
        <v>2387139.04</v>
      </c>
      <c r="L46" s="28">
        <f>2393405-1000000+400000-32251.34</f>
        <v>1761153.66</v>
      </c>
      <c r="M46" s="55">
        <v>1793405</v>
      </c>
      <c r="N46" s="55">
        <v>1793405</v>
      </c>
      <c r="O46" s="55">
        <v>1793405</v>
      </c>
      <c r="P46" s="21">
        <v>0</v>
      </c>
      <c r="Q46" s="21">
        <v>0</v>
      </c>
      <c r="R46" s="49"/>
    </row>
    <row r="47" spans="1:18" s="13" customFormat="1" ht="54" customHeight="1" x14ac:dyDescent="0.25">
      <c r="A47" s="92"/>
      <c r="B47" s="107"/>
      <c r="C47" s="1" t="s">
        <v>21</v>
      </c>
      <c r="D47" s="1" t="s">
        <v>9</v>
      </c>
      <c r="E47" s="1" t="s">
        <v>13</v>
      </c>
      <c r="F47" s="1" t="s">
        <v>13</v>
      </c>
      <c r="G47" s="1" t="s">
        <v>13</v>
      </c>
      <c r="H47" s="1" t="s">
        <v>13</v>
      </c>
      <c r="I47" s="2">
        <f>J47+K47+L47+M47+N47+O47+P47+Q47</f>
        <v>7705110.0800000001</v>
      </c>
      <c r="J47" s="2">
        <v>1945731</v>
      </c>
      <c r="K47" s="28">
        <f>1700000-321922-18696.08</f>
        <v>1359381.92</v>
      </c>
      <c r="L47" s="28">
        <v>1099997.1599999999</v>
      </c>
      <c r="M47" s="43">
        <f t="shared" ref="M47:O47" si="15">1700000-1200000+600000</f>
        <v>1100000</v>
      </c>
      <c r="N47" s="43">
        <f t="shared" si="15"/>
        <v>1100000</v>
      </c>
      <c r="O47" s="43">
        <f t="shared" si="15"/>
        <v>1100000</v>
      </c>
      <c r="P47" s="21">
        <v>0</v>
      </c>
      <c r="Q47" s="21">
        <v>0</v>
      </c>
      <c r="R47" s="49"/>
    </row>
    <row r="48" spans="1:18" s="13" customFormat="1" ht="58.5" customHeight="1" x14ac:dyDescent="0.25">
      <c r="A48" s="92"/>
      <c r="B48" s="107"/>
      <c r="C48" s="1" t="s">
        <v>22</v>
      </c>
      <c r="D48" s="1" t="s">
        <v>9</v>
      </c>
      <c r="E48" s="1" t="s">
        <v>13</v>
      </c>
      <c r="F48" s="1" t="s">
        <v>13</v>
      </c>
      <c r="G48" s="1" t="s">
        <v>13</v>
      </c>
      <c r="H48" s="1" t="s">
        <v>13</v>
      </c>
      <c r="I48" s="2">
        <f>J48+K48+L48+M48+N48+O48+P48+Q48</f>
        <v>11396479.120000001</v>
      </c>
      <c r="J48" s="2">
        <v>2170360.4300000002</v>
      </c>
      <c r="K48" s="28">
        <f>2093747-401301-168.76</f>
        <v>1692277.24</v>
      </c>
      <c r="L48" s="28">
        <v>1823920.45</v>
      </c>
      <c r="M48" s="55">
        <v>1903307</v>
      </c>
      <c r="N48" s="55">
        <v>1903307</v>
      </c>
      <c r="O48" s="55">
        <v>1903307</v>
      </c>
      <c r="P48" s="21">
        <v>0</v>
      </c>
      <c r="Q48" s="21">
        <v>0</v>
      </c>
      <c r="R48" s="49"/>
    </row>
    <row r="49" spans="1:18" s="13" customFormat="1" ht="84" customHeight="1" x14ac:dyDescent="0.25">
      <c r="A49" s="14">
        <v>19</v>
      </c>
      <c r="B49" s="26" t="s">
        <v>75</v>
      </c>
      <c r="C49" s="1" t="s">
        <v>36</v>
      </c>
      <c r="D49" s="1" t="s">
        <v>9</v>
      </c>
      <c r="E49" s="1" t="s">
        <v>13</v>
      </c>
      <c r="F49" s="1" t="s">
        <v>13</v>
      </c>
      <c r="G49" s="1" t="s">
        <v>13</v>
      </c>
      <c r="H49" s="1" t="s">
        <v>13</v>
      </c>
      <c r="I49" s="2">
        <f t="shared" ref="I49:I50" si="16">J49+K49+L49+M49+N49+O49+P49+Q49</f>
        <v>721386404.26999998</v>
      </c>
      <c r="J49" s="2">
        <f>99362389.41+5000000+2500000</f>
        <v>106862389.41</v>
      </c>
      <c r="K49" s="2">
        <f>97362389+9000000+4922806.3+2077193.7</f>
        <v>113362389</v>
      </c>
      <c r="L49" s="2">
        <v>121652713.86</v>
      </c>
      <c r="M49" s="30">
        <f>145079104+1700000</f>
        <v>146779104</v>
      </c>
      <c r="N49" s="30">
        <v>116364904</v>
      </c>
      <c r="O49" s="30">
        <v>116364904</v>
      </c>
      <c r="P49" s="21">
        <v>0</v>
      </c>
      <c r="Q49" s="21">
        <v>0</v>
      </c>
      <c r="R49" s="49"/>
    </row>
    <row r="50" spans="1:18" s="13" customFormat="1" ht="87.75" customHeight="1" x14ac:dyDescent="0.25">
      <c r="A50" s="14">
        <v>20</v>
      </c>
      <c r="B50" s="22" t="s">
        <v>76</v>
      </c>
      <c r="C50" s="1" t="s">
        <v>29</v>
      </c>
      <c r="D50" s="1" t="s">
        <v>9</v>
      </c>
      <c r="E50" s="1" t="s">
        <v>13</v>
      </c>
      <c r="F50" s="1" t="s">
        <v>13</v>
      </c>
      <c r="G50" s="1" t="s">
        <v>13</v>
      </c>
      <c r="H50" s="1" t="s">
        <v>13</v>
      </c>
      <c r="I50" s="2">
        <f t="shared" si="16"/>
        <v>1259539563.97</v>
      </c>
      <c r="J50" s="2">
        <f>177700000+4600000-1410059.59-1199940.4</f>
        <v>179690000.00999999</v>
      </c>
      <c r="K50" s="2">
        <f>190154874.28+159866.72+1500000+1840133.28</f>
        <v>193654874.28</v>
      </c>
      <c r="L50" s="2">
        <f>215505954.83+198000</f>
        <v>215703954.83000001</v>
      </c>
      <c r="M50" s="30">
        <f>217718734.85</f>
        <v>217718734.84999999</v>
      </c>
      <c r="N50" s="30">
        <v>226386000</v>
      </c>
      <c r="O50" s="30">
        <v>226386000</v>
      </c>
      <c r="P50" s="21">
        <v>0</v>
      </c>
      <c r="Q50" s="21">
        <v>0</v>
      </c>
      <c r="R50" s="49"/>
    </row>
    <row r="51" spans="1:18" s="13" customFormat="1" ht="130.5" customHeight="1" x14ac:dyDescent="0.25">
      <c r="A51" s="92">
        <v>21</v>
      </c>
      <c r="B51" s="94" t="s">
        <v>77</v>
      </c>
      <c r="C51" s="1" t="s">
        <v>89</v>
      </c>
      <c r="D51" s="1" t="s">
        <v>9</v>
      </c>
      <c r="E51" s="1" t="s">
        <v>13</v>
      </c>
      <c r="F51" s="1" t="s">
        <v>13</v>
      </c>
      <c r="G51" s="1" t="s">
        <v>13</v>
      </c>
      <c r="H51" s="1" t="s">
        <v>13</v>
      </c>
      <c r="I51" s="2">
        <f>J51+K51+L51+M51+N51+O51+P51+Q51</f>
        <v>202038215.97</v>
      </c>
      <c r="J51" s="2">
        <f>J53+J54+J55+J57+J56</f>
        <v>44027696.36999999</v>
      </c>
      <c r="K51" s="20">
        <f>K53+K54+K55+K56+K57</f>
        <v>29521452.669999998</v>
      </c>
      <c r="L51" s="2">
        <f>L53+L54+L55+L56+L57</f>
        <v>29433094.98</v>
      </c>
      <c r="M51" s="30">
        <f>M53+M54+M55+M56+M57</f>
        <v>36092437.950000003</v>
      </c>
      <c r="N51" s="30">
        <f>N53+N54+N55+N56+N57</f>
        <v>31481767</v>
      </c>
      <c r="O51" s="30">
        <f>O53+O54+O55+O56+O57</f>
        <v>31481767</v>
      </c>
      <c r="P51" s="21">
        <v>0</v>
      </c>
      <c r="Q51" s="21">
        <v>0</v>
      </c>
      <c r="R51" s="49"/>
    </row>
    <row r="52" spans="1:18" s="13" customFormat="1" ht="74.25" customHeight="1" x14ac:dyDescent="0.25">
      <c r="A52" s="92"/>
      <c r="B52" s="95"/>
      <c r="C52" s="1" t="s">
        <v>26</v>
      </c>
      <c r="D52" s="1" t="s">
        <v>9</v>
      </c>
      <c r="E52" s="1" t="s">
        <v>13</v>
      </c>
      <c r="F52" s="1" t="s">
        <v>13</v>
      </c>
      <c r="G52" s="1" t="s">
        <v>13</v>
      </c>
      <c r="H52" s="1" t="s">
        <v>13</v>
      </c>
      <c r="I52" s="2"/>
      <c r="J52" s="2"/>
      <c r="K52" s="20"/>
      <c r="L52" s="2"/>
      <c r="M52" s="30"/>
      <c r="N52" s="57"/>
      <c r="O52" s="30"/>
      <c r="P52" s="21"/>
      <c r="Q52" s="21"/>
      <c r="R52" s="49"/>
    </row>
    <row r="53" spans="1:18" s="13" customFormat="1" ht="53.25" customHeight="1" x14ac:dyDescent="0.25">
      <c r="A53" s="92"/>
      <c r="B53" s="95"/>
      <c r="C53" s="1" t="s">
        <v>23</v>
      </c>
      <c r="D53" s="1" t="s">
        <v>9</v>
      </c>
      <c r="E53" s="1" t="s">
        <v>13</v>
      </c>
      <c r="F53" s="1" t="s">
        <v>13</v>
      </c>
      <c r="G53" s="1" t="s">
        <v>13</v>
      </c>
      <c r="H53" s="1" t="s">
        <v>13</v>
      </c>
      <c r="I53" s="2">
        <f>J53+K53+L53+M53+N53+O53+P53+Q53</f>
        <v>1751350</v>
      </c>
      <c r="J53" s="2">
        <f>252000</f>
        <v>252000</v>
      </c>
      <c r="K53" s="28">
        <f>428400-229000-200</f>
        <v>199200</v>
      </c>
      <c r="L53" s="28">
        <f>298150</f>
        <v>298150</v>
      </c>
      <c r="M53" s="55">
        <f>334000</f>
        <v>334000</v>
      </c>
      <c r="N53" s="55">
        <v>334000</v>
      </c>
      <c r="O53" s="55">
        <v>334000</v>
      </c>
      <c r="P53" s="21">
        <v>0</v>
      </c>
      <c r="Q53" s="21">
        <v>0</v>
      </c>
      <c r="R53" s="49"/>
    </row>
    <row r="54" spans="1:18" s="13" customFormat="1" ht="51.75" customHeight="1" x14ac:dyDescent="0.25">
      <c r="A54" s="92"/>
      <c r="B54" s="95"/>
      <c r="C54" s="1" t="s">
        <v>21</v>
      </c>
      <c r="D54" s="1" t="s">
        <v>9</v>
      </c>
      <c r="E54" s="1" t="s">
        <v>13</v>
      </c>
      <c r="F54" s="1" t="s">
        <v>13</v>
      </c>
      <c r="G54" s="1" t="s">
        <v>13</v>
      </c>
      <c r="H54" s="1" t="s">
        <v>13</v>
      </c>
      <c r="I54" s="2">
        <f t="shared" ref="I54:I58" si="17">J54+K54+L54+M54+N54+O54+P54+Q54</f>
        <v>1953447.5</v>
      </c>
      <c r="J54" s="2">
        <f>239435+91000</f>
        <v>330435</v>
      </c>
      <c r="K54" s="28">
        <f>180073-833+70000-95857</f>
        <v>153383</v>
      </c>
      <c r="L54" s="28">
        <v>349978.55</v>
      </c>
      <c r="M54" s="55">
        <f>419650.95</f>
        <v>419650.95</v>
      </c>
      <c r="N54" s="30">
        <v>350000</v>
      </c>
      <c r="O54" s="30">
        <v>350000</v>
      </c>
      <c r="P54" s="21">
        <v>0</v>
      </c>
      <c r="Q54" s="21">
        <v>0</v>
      </c>
      <c r="R54" s="49"/>
    </row>
    <row r="55" spans="1:18" s="13" customFormat="1" ht="50.25" customHeight="1" x14ac:dyDescent="0.25">
      <c r="A55" s="92"/>
      <c r="B55" s="95"/>
      <c r="C55" s="1" t="s">
        <v>22</v>
      </c>
      <c r="D55" s="1" t="s">
        <v>9</v>
      </c>
      <c r="E55" s="1" t="s">
        <v>13</v>
      </c>
      <c r="F55" s="1" t="s">
        <v>13</v>
      </c>
      <c r="G55" s="1" t="s">
        <v>13</v>
      </c>
      <c r="H55" s="1" t="s">
        <v>13</v>
      </c>
      <c r="I55" s="2">
        <f t="shared" si="17"/>
        <v>1615550</v>
      </c>
      <c r="J55" s="2">
        <v>117300</v>
      </c>
      <c r="K55" s="28">
        <v>162400</v>
      </c>
      <c r="L55" s="28">
        <v>305850</v>
      </c>
      <c r="M55" s="55">
        <v>410000</v>
      </c>
      <c r="N55" s="55">
        <v>310000</v>
      </c>
      <c r="O55" s="55">
        <v>310000</v>
      </c>
      <c r="P55" s="21">
        <v>0</v>
      </c>
      <c r="Q55" s="21">
        <v>0</v>
      </c>
      <c r="R55" s="49"/>
    </row>
    <row r="56" spans="1:18" s="13" customFormat="1" ht="53.25" customHeight="1" x14ac:dyDescent="0.25">
      <c r="A56" s="92"/>
      <c r="B56" s="95"/>
      <c r="C56" s="1" t="s">
        <v>19</v>
      </c>
      <c r="D56" s="1" t="s">
        <v>9</v>
      </c>
      <c r="E56" s="1" t="s">
        <v>13</v>
      </c>
      <c r="F56" s="1" t="s">
        <v>13</v>
      </c>
      <c r="G56" s="1" t="s">
        <v>13</v>
      </c>
      <c r="H56" s="1" t="s">
        <v>13</v>
      </c>
      <c r="I56" s="2">
        <f t="shared" si="17"/>
        <v>76843.98</v>
      </c>
      <c r="J56" s="2">
        <v>28093.98</v>
      </c>
      <c r="K56" s="28">
        <v>0</v>
      </c>
      <c r="L56" s="28">
        <v>0</v>
      </c>
      <c r="M56" s="55">
        <v>48750</v>
      </c>
      <c r="N56" s="30">
        <v>0</v>
      </c>
      <c r="O56" s="30">
        <v>0</v>
      </c>
      <c r="P56" s="21">
        <v>0</v>
      </c>
      <c r="Q56" s="21">
        <v>0</v>
      </c>
      <c r="R56" s="49"/>
    </row>
    <row r="57" spans="1:18" s="13" customFormat="1" ht="65.25" customHeight="1" x14ac:dyDescent="0.25">
      <c r="A57" s="92"/>
      <c r="B57" s="96"/>
      <c r="C57" s="1" t="s">
        <v>29</v>
      </c>
      <c r="D57" s="1" t="s">
        <v>9</v>
      </c>
      <c r="E57" s="1" t="s">
        <v>13</v>
      </c>
      <c r="F57" s="1" t="s">
        <v>13</v>
      </c>
      <c r="G57" s="1" t="s">
        <v>13</v>
      </c>
      <c r="H57" s="1" t="s">
        <v>13</v>
      </c>
      <c r="I57" s="2">
        <f t="shared" si="17"/>
        <v>196641024.48999998</v>
      </c>
      <c r="J57" s="2">
        <f>44781524.94+2000000-283209.85-30973-1336183.24-1831291.46</f>
        <v>43299867.389999993</v>
      </c>
      <c r="K57" s="2">
        <f>28057544+127133-4942.82+1100000-264563.84-8700.67</f>
        <v>29006469.669999998</v>
      </c>
      <c r="L57" s="2">
        <f>29959116.43-1480000</f>
        <v>28479116.43</v>
      </c>
      <c r="M57" s="30">
        <v>34880037</v>
      </c>
      <c r="N57" s="30">
        <f t="shared" ref="N57:O57" si="18">710590+15434930+14342247</f>
        <v>30487767</v>
      </c>
      <c r="O57" s="30">
        <f t="shared" si="18"/>
        <v>30487767</v>
      </c>
      <c r="P57" s="21">
        <v>0</v>
      </c>
      <c r="Q57" s="21">
        <v>0</v>
      </c>
      <c r="R57" s="49"/>
    </row>
    <row r="58" spans="1:18" s="13" customFormat="1" ht="63" customHeight="1" x14ac:dyDescent="0.25">
      <c r="A58" s="92">
        <v>22</v>
      </c>
      <c r="B58" s="107" t="s">
        <v>88</v>
      </c>
      <c r="C58" s="1" t="s">
        <v>33</v>
      </c>
      <c r="D58" s="1" t="s">
        <v>32</v>
      </c>
      <c r="E58" s="1" t="s">
        <v>13</v>
      </c>
      <c r="F58" s="1" t="s">
        <v>13</v>
      </c>
      <c r="G58" s="1" t="s">
        <v>13</v>
      </c>
      <c r="H58" s="1" t="s">
        <v>13</v>
      </c>
      <c r="I58" s="2">
        <f t="shared" si="17"/>
        <v>37450497.299999997</v>
      </c>
      <c r="J58" s="2">
        <f>J60+J61</f>
        <v>6205500</v>
      </c>
      <c r="K58" s="20">
        <f>K60+K61</f>
        <v>5646328</v>
      </c>
      <c r="L58" s="2">
        <f>L60+L61</f>
        <v>8111483.2999999998</v>
      </c>
      <c r="M58" s="30">
        <f>M60+M61</f>
        <v>11350284</v>
      </c>
      <c r="N58" s="30">
        <f>N61</f>
        <v>3068451</v>
      </c>
      <c r="O58" s="30">
        <f>O61</f>
        <v>3068451</v>
      </c>
      <c r="P58" s="21">
        <v>0</v>
      </c>
      <c r="Q58" s="21">
        <v>0</v>
      </c>
      <c r="R58" s="49"/>
    </row>
    <row r="59" spans="1:18" s="13" customFormat="1" ht="26.25" customHeight="1" x14ac:dyDescent="0.25">
      <c r="A59" s="92"/>
      <c r="B59" s="107"/>
      <c r="C59" s="1" t="s">
        <v>26</v>
      </c>
      <c r="D59" s="98"/>
      <c r="E59" s="98"/>
      <c r="F59" s="98"/>
      <c r="G59" s="98"/>
      <c r="H59" s="98"/>
      <c r="I59" s="98"/>
      <c r="J59" s="98"/>
      <c r="K59" s="98"/>
      <c r="L59" s="98"/>
      <c r="M59" s="59"/>
      <c r="N59" s="57"/>
      <c r="O59" s="30"/>
      <c r="P59" s="21"/>
      <c r="Q59" s="21"/>
      <c r="R59" s="49"/>
    </row>
    <row r="60" spans="1:18" s="13" customFormat="1" ht="57" customHeight="1" x14ac:dyDescent="0.25">
      <c r="A60" s="92"/>
      <c r="B60" s="107"/>
      <c r="C60" s="1" t="s">
        <v>34</v>
      </c>
      <c r="D60" s="1" t="s">
        <v>32</v>
      </c>
      <c r="E60" s="1" t="s">
        <v>13</v>
      </c>
      <c r="F60" s="1" t="s">
        <v>13</v>
      </c>
      <c r="G60" s="1" t="s">
        <v>13</v>
      </c>
      <c r="H60" s="1" t="s">
        <v>13</v>
      </c>
      <c r="I60" s="2">
        <f>J60+K60+L60+M60+N60+O60+P60+Q60</f>
        <v>445598.97</v>
      </c>
      <c r="J60" s="2">
        <f>1001346-555747.03</f>
        <v>445598.97</v>
      </c>
      <c r="K60" s="20">
        <v>0</v>
      </c>
      <c r="L60" s="2">
        <v>0</v>
      </c>
      <c r="M60" s="30">
        <v>0</v>
      </c>
      <c r="N60" s="30">
        <v>0</v>
      </c>
      <c r="O60" s="30">
        <v>0</v>
      </c>
      <c r="P60" s="21">
        <v>0</v>
      </c>
      <c r="Q60" s="21">
        <v>0</v>
      </c>
      <c r="R60" s="49"/>
    </row>
    <row r="61" spans="1:18" s="13" customFormat="1" ht="52.5" customHeight="1" x14ac:dyDescent="0.25">
      <c r="A61" s="92"/>
      <c r="B61" s="107"/>
      <c r="C61" s="1" t="s">
        <v>35</v>
      </c>
      <c r="D61" s="1" t="s">
        <v>32</v>
      </c>
      <c r="E61" s="1" t="s">
        <v>13</v>
      </c>
      <c r="F61" s="1" t="s">
        <v>13</v>
      </c>
      <c r="G61" s="1" t="s">
        <v>13</v>
      </c>
      <c r="H61" s="1" t="s">
        <v>13</v>
      </c>
      <c r="I61" s="2">
        <f t="shared" ref="I61:I85" si="19">J61+K61+L61+M61+N61+O61+P61+Q61</f>
        <v>37004898.329999998</v>
      </c>
      <c r="J61" s="2">
        <f>5204154+555747.03</f>
        <v>5759901.0300000003</v>
      </c>
      <c r="K61" s="2">
        <f>5646400-72</f>
        <v>5646328</v>
      </c>
      <c r="L61" s="2">
        <v>8111483.2999999998</v>
      </c>
      <c r="M61" s="30">
        <v>11350284</v>
      </c>
      <c r="N61" s="30">
        <v>3068451</v>
      </c>
      <c r="O61" s="30">
        <v>3068451</v>
      </c>
      <c r="P61" s="21">
        <v>0</v>
      </c>
      <c r="Q61" s="21">
        <v>0</v>
      </c>
      <c r="R61" s="49"/>
    </row>
    <row r="62" spans="1:18" s="13" customFormat="1" ht="93.75" customHeight="1" x14ac:dyDescent="0.25">
      <c r="A62" s="52">
        <v>23</v>
      </c>
      <c r="B62" s="53" t="s">
        <v>102</v>
      </c>
      <c r="C62" s="51" t="s">
        <v>94</v>
      </c>
      <c r="D62" s="51" t="s">
        <v>32</v>
      </c>
      <c r="E62" s="51" t="s">
        <v>13</v>
      </c>
      <c r="F62" s="51" t="s">
        <v>13</v>
      </c>
      <c r="G62" s="51" t="s">
        <v>13</v>
      </c>
      <c r="H62" s="51" t="s">
        <v>13</v>
      </c>
      <c r="I62" s="2">
        <f t="shared" si="19"/>
        <v>30000000</v>
      </c>
      <c r="J62" s="2">
        <v>0</v>
      </c>
      <c r="K62" s="2">
        <v>0</v>
      </c>
      <c r="L62" s="2">
        <v>0</v>
      </c>
      <c r="M62" s="30">
        <v>30000000</v>
      </c>
      <c r="N62" s="30">
        <v>0</v>
      </c>
      <c r="O62" s="30">
        <v>0</v>
      </c>
      <c r="P62" s="21">
        <v>0</v>
      </c>
      <c r="Q62" s="21">
        <v>0</v>
      </c>
      <c r="R62" s="49"/>
    </row>
    <row r="63" spans="1:18" s="3" customFormat="1" ht="98.25" customHeight="1" x14ac:dyDescent="0.25">
      <c r="A63" s="48">
        <v>24</v>
      </c>
      <c r="B63" s="47" t="s">
        <v>95</v>
      </c>
      <c r="C63" s="47" t="s">
        <v>90</v>
      </c>
      <c r="D63" s="47" t="s">
        <v>9</v>
      </c>
      <c r="E63" s="47" t="s">
        <v>13</v>
      </c>
      <c r="F63" s="47" t="s">
        <v>13</v>
      </c>
      <c r="G63" s="47" t="s">
        <v>13</v>
      </c>
      <c r="H63" s="47" t="s">
        <v>13</v>
      </c>
      <c r="I63" s="2">
        <f t="shared" si="19"/>
        <v>356379625.72000003</v>
      </c>
      <c r="J63" s="2">
        <f>23483723.03+1410059.59+531231.86+1468768.14</f>
        <v>26893782.620000001</v>
      </c>
      <c r="K63" s="2">
        <f>37483723+1162254.44</f>
        <v>38645977.439999998</v>
      </c>
      <c r="L63" s="2">
        <v>61874237.659999996</v>
      </c>
      <c r="M63" s="30">
        <v>76321876</v>
      </c>
      <c r="N63" s="30">
        <v>76321876</v>
      </c>
      <c r="O63" s="30">
        <v>76321876</v>
      </c>
      <c r="P63" s="21">
        <v>0</v>
      </c>
      <c r="Q63" s="21">
        <v>0</v>
      </c>
      <c r="R63" s="49"/>
    </row>
    <row r="64" spans="1:18" s="13" customFormat="1" ht="89.25" customHeight="1" x14ac:dyDescent="0.25">
      <c r="A64" s="14">
        <v>25</v>
      </c>
      <c r="B64" s="26" t="s">
        <v>96</v>
      </c>
      <c r="C64" s="1" t="s">
        <v>40</v>
      </c>
      <c r="D64" s="1" t="s">
        <v>9</v>
      </c>
      <c r="E64" s="1" t="s">
        <v>13</v>
      </c>
      <c r="F64" s="1" t="s">
        <v>13</v>
      </c>
      <c r="G64" s="1" t="s">
        <v>13</v>
      </c>
      <c r="H64" s="1" t="s">
        <v>13</v>
      </c>
      <c r="I64" s="2">
        <f t="shared" si="19"/>
        <v>10148810.280000001</v>
      </c>
      <c r="J64" s="2">
        <f>3000000-982389.72</f>
        <v>2017610.28</v>
      </c>
      <c r="K64" s="2">
        <v>45000</v>
      </c>
      <c r="L64" s="2">
        <f>1000000+995000</f>
        <v>1995000</v>
      </c>
      <c r="M64" s="30">
        <f>2091200</f>
        <v>2091200</v>
      </c>
      <c r="N64" s="30">
        <v>2000000</v>
      </c>
      <c r="O64" s="30">
        <v>2000000</v>
      </c>
      <c r="P64" s="21">
        <v>0</v>
      </c>
      <c r="Q64" s="21">
        <v>0</v>
      </c>
      <c r="R64" s="49"/>
    </row>
    <row r="65" spans="1:18" s="13" customFormat="1" ht="95.25" customHeight="1" x14ac:dyDescent="0.25">
      <c r="A65" s="17">
        <v>26</v>
      </c>
      <c r="B65" s="39" t="s">
        <v>97</v>
      </c>
      <c r="C65" s="17" t="s">
        <v>91</v>
      </c>
      <c r="D65" s="40" t="s">
        <v>9</v>
      </c>
      <c r="E65" s="1" t="s">
        <v>13</v>
      </c>
      <c r="F65" s="1" t="s">
        <v>13</v>
      </c>
      <c r="G65" s="1" t="s">
        <v>13</v>
      </c>
      <c r="H65" s="1" t="s">
        <v>13</v>
      </c>
      <c r="I65" s="2">
        <f t="shared" si="19"/>
        <v>40053241.799999997</v>
      </c>
      <c r="J65" s="2">
        <v>0</v>
      </c>
      <c r="K65" s="2">
        <f>43246500-2722696.6-470561.6</f>
        <v>40053241.799999997</v>
      </c>
      <c r="L65" s="2">
        <v>0</v>
      </c>
      <c r="M65" s="30">
        <v>0</v>
      </c>
      <c r="N65" s="30">
        <v>0</v>
      </c>
      <c r="O65" s="30">
        <v>0</v>
      </c>
      <c r="P65" s="21">
        <v>0</v>
      </c>
      <c r="Q65" s="21">
        <v>0</v>
      </c>
      <c r="R65" s="49"/>
    </row>
    <row r="66" spans="1:18" s="13" customFormat="1" ht="124.5" customHeight="1" x14ac:dyDescent="0.25">
      <c r="A66" s="17">
        <v>27</v>
      </c>
      <c r="B66" s="39" t="s">
        <v>108</v>
      </c>
      <c r="C66" s="41" t="s">
        <v>92</v>
      </c>
      <c r="D66" s="1" t="s">
        <v>9</v>
      </c>
      <c r="E66" s="1" t="s">
        <v>13</v>
      </c>
      <c r="F66" s="1" t="s">
        <v>13</v>
      </c>
      <c r="G66" s="1" t="s">
        <v>13</v>
      </c>
      <c r="H66" s="1" t="s">
        <v>13</v>
      </c>
      <c r="I66" s="2">
        <f t="shared" si="19"/>
        <v>95000</v>
      </c>
      <c r="J66" s="2">
        <v>0</v>
      </c>
      <c r="K66" s="2">
        <v>50000</v>
      </c>
      <c r="L66" s="2">
        <v>45000</v>
      </c>
      <c r="M66" s="30">
        <v>0</v>
      </c>
      <c r="N66" s="30">
        <v>0</v>
      </c>
      <c r="O66" s="30">
        <v>0</v>
      </c>
      <c r="P66" s="21">
        <v>0</v>
      </c>
      <c r="Q66" s="21">
        <v>0</v>
      </c>
      <c r="R66" s="49"/>
    </row>
    <row r="67" spans="1:18" s="13" customFormat="1" ht="1.5" hidden="1" customHeight="1" x14ac:dyDescent="0.25">
      <c r="A67" s="17"/>
      <c r="B67" s="39" t="s">
        <v>78</v>
      </c>
      <c r="C67" s="42" t="s">
        <v>46</v>
      </c>
      <c r="D67" s="1" t="s">
        <v>9</v>
      </c>
      <c r="E67" s="1" t="s">
        <v>13</v>
      </c>
      <c r="F67" s="1" t="s">
        <v>13</v>
      </c>
      <c r="G67" s="1" t="s">
        <v>13</v>
      </c>
      <c r="H67" s="1" t="s">
        <v>13</v>
      </c>
      <c r="I67" s="2">
        <f t="shared" si="19"/>
        <v>0</v>
      </c>
      <c r="J67" s="2">
        <v>0</v>
      </c>
      <c r="K67" s="2">
        <v>0</v>
      </c>
      <c r="L67" s="2">
        <v>0</v>
      </c>
      <c r="M67" s="30">
        <v>0</v>
      </c>
      <c r="N67" s="57"/>
      <c r="O67" s="30"/>
      <c r="P67" s="21"/>
      <c r="Q67" s="21"/>
      <c r="R67" s="49"/>
    </row>
    <row r="68" spans="1:18" s="13" customFormat="1" ht="90.75" customHeight="1" x14ac:dyDescent="0.25">
      <c r="A68" s="17">
        <v>28</v>
      </c>
      <c r="B68" s="39" t="s">
        <v>98</v>
      </c>
      <c r="C68" s="41" t="s">
        <v>45</v>
      </c>
      <c r="D68" s="1" t="s">
        <v>9</v>
      </c>
      <c r="E68" s="1" t="s">
        <v>13</v>
      </c>
      <c r="F68" s="1" t="s">
        <v>13</v>
      </c>
      <c r="G68" s="1" t="s">
        <v>13</v>
      </c>
      <c r="H68" s="1" t="s">
        <v>13</v>
      </c>
      <c r="I68" s="2">
        <f t="shared" si="19"/>
        <v>500000</v>
      </c>
      <c r="J68" s="2">
        <v>0</v>
      </c>
      <c r="K68" s="2">
        <v>500000</v>
      </c>
      <c r="L68" s="2">
        <v>0</v>
      </c>
      <c r="M68" s="30">
        <v>0</v>
      </c>
      <c r="N68" s="30">
        <v>0</v>
      </c>
      <c r="O68" s="30">
        <v>0</v>
      </c>
      <c r="P68" s="21">
        <v>0</v>
      </c>
      <c r="Q68" s="21">
        <v>0</v>
      </c>
      <c r="R68" s="49"/>
    </row>
    <row r="69" spans="1:18" s="13" customFormat="1" ht="34.5" customHeight="1" x14ac:dyDescent="0.25">
      <c r="A69" s="128">
        <v>29</v>
      </c>
      <c r="B69" s="131" t="s">
        <v>110</v>
      </c>
      <c r="C69" s="42" t="s">
        <v>49</v>
      </c>
      <c r="D69" s="85" t="s">
        <v>9</v>
      </c>
      <c r="E69" s="1" t="s">
        <v>13</v>
      </c>
      <c r="F69" s="1" t="s">
        <v>13</v>
      </c>
      <c r="G69" s="1" t="s">
        <v>13</v>
      </c>
      <c r="H69" s="1" t="s">
        <v>13</v>
      </c>
      <c r="I69" s="2">
        <f t="shared" si="19"/>
        <v>60111372.5</v>
      </c>
      <c r="J69" s="2">
        <v>0</v>
      </c>
      <c r="K69" s="2">
        <v>0</v>
      </c>
      <c r="L69" s="2">
        <f>SUM(L70:L73)</f>
        <v>12722372.5</v>
      </c>
      <c r="M69" s="20">
        <f>SUM(M70:M74)</f>
        <v>20445000</v>
      </c>
      <c r="N69" s="20">
        <f t="shared" ref="N69:O69" si="20">SUM(N70:N73)</f>
        <v>13472000</v>
      </c>
      <c r="O69" s="20">
        <f t="shared" si="20"/>
        <v>13472000</v>
      </c>
      <c r="P69" s="21">
        <v>0</v>
      </c>
      <c r="Q69" s="21">
        <v>0</v>
      </c>
      <c r="R69" s="49"/>
    </row>
    <row r="70" spans="1:18" s="13" customFormat="1" ht="45" customHeight="1" x14ac:dyDescent="0.25">
      <c r="A70" s="129"/>
      <c r="B70" s="132"/>
      <c r="C70" s="42" t="s">
        <v>50</v>
      </c>
      <c r="D70" s="86"/>
      <c r="E70" s="1" t="s">
        <v>13</v>
      </c>
      <c r="F70" s="1" t="s">
        <v>13</v>
      </c>
      <c r="G70" s="1" t="s">
        <v>13</v>
      </c>
      <c r="H70" s="1" t="s">
        <v>13</v>
      </c>
      <c r="I70" s="2">
        <f t="shared" si="19"/>
        <v>13394902.560000001</v>
      </c>
      <c r="J70" s="2">
        <v>0</v>
      </c>
      <c r="K70" s="2">
        <v>0</v>
      </c>
      <c r="L70" s="2">
        <f>3178000-208000-1097.44</f>
        <v>2968902.56</v>
      </c>
      <c r="M70" s="30">
        <v>4950000</v>
      </c>
      <c r="N70" s="30">
        <v>2738000</v>
      </c>
      <c r="O70" s="30">
        <v>2738000</v>
      </c>
      <c r="P70" s="21">
        <v>0</v>
      </c>
      <c r="Q70" s="21">
        <v>0</v>
      </c>
      <c r="R70" s="49"/>
    </row>
    <row r="71" spans="1:18" s="13" customFormat="1" ht="37.5" customHeight="1" x14ac:dyDescent="0.25">
      <c r="A71" s="129"/>
      <c r="B71" s="132"/>
      <c r="C71" s="42" t="s">
        <v>51</v>
      </c>
      <c r="D71" s="86"/>
      <c r="E71" s="1" t="s">
        <v>13</v>
      </c>
      <c r="F71" s="1" t="s">
        <v>13</v>
      </c>
      <c r="G71" s="1" t="s">
        <v>13</v>
      </c>
      <c r="H71" s="1" t="s">
        <v>13</v>
      </c>
      <c r="I71" s="2">
        <f t="shared" si="19"/>
        <v>23468965.780000001</v>
      </c>
      <c r="J71" s="2">
        <v>0</v>
      </c>
      <c r="K71" s="2">
        <v>0</v>
      </c>
      <c r="L71" s="2">
        <v>5693965.7800000003</v>
      </c>
      <c r="M71" s="20">
        <f>6850000-980000+165000</f>
        <v>6035000</v>
      </c>
      <c r="N71" s="20">
        <f t="shared" ref="N71:O71" si="21">6850000-980000</f>
        <v>5870000</v>
      </c>
      <c r="O71" s="20">
        <f t="shared" si="21"/>
        <v>5870000</v>
      </c>
      <c r="P71" s="21">
        <v>0</v>
      </c>
      <c r="Q71" s="21">
        <v>0</v>
      </c>
      <c r="R71" s="49"/>
    </row>
    <row r="72" spans="1:18" s="13" customFormat="1" ht="41.25" customHeight="1" x14ac:dyDescent="0.25">
      <c r="A72" s="129"/>
      <c r="B72" s="132"/>
      <c r="C72" s="42" t="s">
        <v>52</v>
      </c>
      <c r="D72" s="86"/>
      <c r="E72" s="1" t="s">
        <v>13</v>
      </c>
      <c r="F72" s="1" t="s">
        <v>13</v>
      </c>
      <c r="G72" s="1" t="s">
        <v>13</v>
      </c>
      <c r="H72" s="1" t="s">
        <v>13</v>
      </c>
      <c r="I72" s="2">
        <f t="shared" si="19"/>
        <v>12455450.51</v>
      </c>
      <c r="J72" s="2">
        <v>0</v>
      </c>
      <c r="K72" s="2">
        <v>0</v>
      </c>
      <c r="L72" s="2">
        <v>2313950.5099999998</v>
      </c>
      <c r="M72" s="30">
        <f>2980000+1201500</f>
        <v>4181500</v>
      </c>
      <c r="N72" s="30">
        <v>2980000</v>
      </c>
      <c r="O72" s="30">
        <v>2980000</v>
      </c>
      <c r="P72" s="21">
        <v>0</v>
      </c>
      <c r="Q72" s="21">
        <v>0</v>
      </c>
      <c r="R72" s="49"/>
    </row>
    <row r="73" spans="1:18" s="13" customFormat="1" ht="47.25" customHeight="1" x14ac:dyDescent="0.25">
      <c r="A73" s="129"/>
      <c r="B73" s="132"/>
      <c r="C73" s="42" t="s">
        <v>53</v>
      </c>
      <c r="D73" s="86"/>
      <c r="E73" s="1" t="s">
        <v>13</v>
      </c>
      <c r="F73" s="1" t="s">
        <v>13</v>
      </c>
      <c r="G73" s="1" t="s">
        <v>13</v>
      </c>
      <c r="H73" s="1" t="s">
        <v>13</v>
      </c>
      <c r="I73" s="2">
        <f t="shared" si="19"/>
        <v>9023553.6500000004</v>
      </c>
      <c r="J73" s="2">
        <v>0</v>
      </c>
      <c r="K73" s="2">
        <v>0</v>
      </c>
      <c r="L73" s="2">
        <v>1745553.65</v>
      </c>
      <c r="M73" s="20">
        <v>3510000</v>
      </c>
      <c r="N73" s="20">
        <f t="shared" ref="N73:O73" si="22">1984000-100000</f>
        <v>1884000</v>
      </c>
      <c r="O73" s="20">
        <f t="shared" si="22"/>
        <v>1884000</v>
      </c>
      <c r="P73" s="21">
        <v>0</v>
      </c>
      <c r="Q73" s="21">
        <v>0</v>
      </c>
      <c r="R73" s="49"/>
    </row>
    <row r="74" spans="1:18" s="13" customFormat="1" ht="82.5" customHeight="1" x14ac:dyDescent="0.25">
      <c r="A74" s="130"/>
      <c r="B74" s="133"/>
      <c r="C74" s="41" t="s">
        <v>59</v>
      </c>
      <c r="D74" s="87"/>
      <c r="E74" s="1" t="s">
        <v>13</v>
      </c>
      <c r="F74" s="1" t="s">
        <v>13</v>
      </c>
      <c r="G74" s="1" t="s">
        <v>13</v>
      </c>
      <c r="H74" s="1" t="s">
        <v>58</v>
      </c>
      <c r="I74" s="2">
        <f t="shared" si="19"/>
        <v>3446500</v>
      </c>
      <c r="J74" s="2">
        <v>0</v>
      </c>
      <c r="K74" s="2">
        <v>0</v>
      </c>
      <c r="L74" s="2">
        <f>980000+100000+208000+390000</f>
        <v>1678000</v>
      </c>
      <c r="M74" s="30">
        <v>1768500</v>
      </c>
      <c r="N74" s="30">
        <v>0</v>
      </c>
      <c r="O74" s="30">
        <v>0</v>
      </c>
      <c r="P74" s="21">
        <v>0</v>
      </c>
      <c r="Q74" s="21">
        <v>0</v>
      </c>
      <c r="R74" s="49"/>
    </row>
    <row r="75" spans="1:18" s="3" customFormat="1" ht="61.5" customHeight="1" x14ac:dyDescent="0.25">
      <c r="A75" s="108">
        <v>30</v>
      </c>
      <c r="B75" s="82" t="s">
        <v>99</v>
      </c>
      <c r="C75" s="1" t="s">
        <v>61</v>
      </c>
      <c r="D75" s="85" t="s">
        <v>9</v>
      </c>
      <c r="E75" s="1" t="s">
        <v>13</v>
      </c>
      <c r="F75" s="1" t="s">
        <v>13</v>
      </c>
      <c r="G75" s="1" t="s">
        <v>13</v>
      </c>
      <c r="H75" s="1" t="s">
        <v>13</v>
      </c>
      <c r="I75" s="2">
        <f t="shared" si="19"/>
        <v>24600000</v>
      </c>
      <c r="J75" s="2">
        <v>0</v>
      </c>
      <c r="K75" s="2">
        <v>0</v>
      </c>
      <c r="L75" s="2">
        <v>0</v>
      </c>
      <c r="M75" s="30">
        <f>M76+M77+M79+M78</f>
        <v>8200000</v>
      </c>
      <c r="N75" s="30">
        <f t="shared" ref="N75:Q75" si="23">N76+N77+N79+N78</f>
        <v>8200000</v>
      </c>
      <c r="O75" s="30">
        <f t="shared" si="23"/>
        <v>8200000</v>
      </c>
      <c r="P75" s="21">
        <f t="shared" si="23"/>
        <v>0</v>
      </c>
      <c r="Q75" s="21">
        <f t="shared" si="23"/>
        <v>0</v>
      </c>
      <c r="R75" s="49"/>
    </row>
    <row r="76" spans="1:18" s="3" customFormat="1" ht="38.25" customHeight="1" x14ac:dyDescent="0.25">
      <c r="A76" s="109"/>
      <c r="B76" s="83"/>
      <c r="C76" s="42" t="s">
        <v>21</v>
      </c>
      <c r="D76" s="86"/>
      <c r="E76" s="1" t="s">
        <v>13</v>
      </c>
      <c r="F76" s="1" t="s">
        <v>13</v>
      </c>
      <c r="G76" s="1" t="s">
        <v>13</v>
      </c>
      <c r="H76" s="1" t="s">
        <v>13</v>
      </c>
      <c r="I76" s="2">
        <f t="shared" si="19"/>
        <v>6000000</v>
      </c>
      <c r="J76" s="2">
        <v>0</v>
      </c>
      <c r="K76" s="2">
        <v>0</v>
      </c>
      <c r="L76" s="2">
        <v>0</v>
      </c>
      <c r="M76" s="30">
        <v>2000000</v>
      </c>
      <c r="N76" s="30">
        <v>2000000</v>
      </c>
      <c r="O76" s="30">
        <v>2000000</v>
      </c>
      <c r="P76" s="21">
        <v>0</v>
      </c>
      <c r="Q76" s="21">
        <v>0</v>
      </c>
      <c r="R76" s="49"/>
    </row>
    <row r="77" spans="1:18" s="3" customFormat="1" ht="41.25" customHeight="1" x14ac:dyDescent="0.25">
      <c r="A77" s="109"/>
      <c r="B77" s="83"/>
      <c r="C77" s="42" t="s">
        <v>22</v>
      </c>
      <c r="D77" s="86"/>
      <c r="E77" s="1" t="s">
        <v>13</v>
      </c>
      <c r="F77" s="1" t="s">
        <v>13</v>
      </c>
      <c r="G77" s="1" t="s">
        <v>13</v>
      </c>
      <c r="H77" s="1" t="s">
        <v>13</v>
      </c>
      <c r="I77" s="2">
        <f t="shared" si="19"/>
        <v>3900000</v>
      </c>
      <c r="J77" s="2">
        <v>0</v>
      </c>
      <c r="K77" s="2">
        <v>0</v>
      </c>
      <c r="L77" s="2">
        <v>0</v>
      </c>
      <c r="M77" s="30">
        <v>1300000</v>
      </c>
      <c r="N77" s="30">
        <v>1300000</v>
      </c>
      <c r="O77" s="30">
        <v>1300000</v>
      </c>
      <c r="P77" s="21">
        <v>0</v>
      </c>
      <c r="Q77" s="21">
        <v>0</v>
      </c>
      <c r="R77" s="49"/>
    </row>
    <row r="78" spans="1:18" s="3" customFormat="1" ht="42" customHeight="1" x14ac:dyDescent="0.25">
      <c r="A78" s="109"/>
      <c r="B78" s="83"/>
      <c r="C78" s="42" t="s">
        <v>46</v>
      </c>
      <c r="D78" s="86"/>
      <c r="E78" s="1" t="s">
        <v>13</v>
      </c>
      <c r="F78" s="1" t="s">
        <v>13</v>
      </c>
      <c r="G78" s="1" t="s">
        <v>13</v>
      </c>
      <c r="H78" s="1" t="s">
        <v>13</v>
      </c>
      <c r="I78" s="2">
        <f t="shared" si="19"/>
        <v>8400000</v>
      </c>
      <c r="J78" s="2">
        <v>0</v>
      </c>
      <c r="K78" s="2">
        <v>0</v>
      </c>
      <c r="L78" s="2">
        <v>0</v>
      </c>
      <c r="M78" s="30">
        <v>2800000</v>
      </c>
      <c r="N78" s="30">
        <v>2800000</v>
      </c>
      <c r="O78" s="30">
        <v>2800000</v>
      </c>
      <c r="P78" s="21">
        <v>0</v>
      </c>
      <c r="Q78" s="21">
        <v>0</v>
      </c>
      <c r="R78" s="49"/>
    </row>
    <row r="79" spans="1:18" s="3" customFormat="1" ht="48.75" customHeight="1" x14ac:dyDescent="0.25">
      <c r="A79" s="110"/>
      <c r="B79" s="84"/>
      <c r="C79" s="42" t="s">
        <v>19</v>
      </c>
      <c r="D79" s="87"/>
      <c r="E79" s="1" t="s">
        <v>13</v>
      </c>
      <c r="F79" s="1" t="s">
        <v>13</v>
      </c>
      <c r="G79" s="1" t="s">
        <v>13</v>
      </c>
      <c r="H79" s="1" t="s">
        <v>13</v>
      </c>
      <c r="I79" s="2">
        <f t="shared" si="19"/>
        <v>6300000</v>
      </c>
      <c r="J79" s="2">
        <v>0</v>
      </c>
      <c r="K79" s="2">
        <v>0</v>
      </c>
      <c r="L79" s="2">
        <v>0</v>
      </c>
      <c r="M79" s="30">
        <v>2100000</v>
      </c>
      <c r="N79" s="30">
        <v>2100000</v>
      </c>
      <c r="O79" s="30">
        <v>2100000</v>
      </c>
      <c r="P79" s="21">
        <v>0</v>
      </c>
      <c r="Q79" s="21">
        <v>0</v>
      </c>
      <c r="R79" s="49"/>
    </row>
    <row r="80" spans="1:18" s="13" customFormat="1" ht="62.25" customHeight="1" x14ac:dyDescent="0.25">
      <c r="A80" s="92">
        <v>31</v>
      </c>
      <c r="B80" s="97" t="s">
        <v>79</v>
      </c>
      <c r="C80" s="1" t="s">
        <v>61</v>
      </c>
      <c r="D80" s="1" t="s">
        <v>9</v>
      </c>
      <c r="E80" s="1" t="s">
        <v>13</v>
      </c>
      <c r="F80" s="1" t="s">
        <v>13</v>
      </c>
      <c r="G80" s="1" t="s">
        <v>13</v>
      </c>
      <c r="H80" s="1" t="s">
        <v>13</v>
      </c>
      <c r="I80" s="2">
        <f t="shared" si="19"/>
        <v>3895429.74</v>
      </c>
      <c r="J80" s="2">
        <f>J81+J82+J84</f>
        <v>505600</v>
      </c>
      <c r="K80" s="2">
        <f>K81+K82+K84</f>
        <v>714169</v>
      </c>
      <c r="L80" s="2">
        <f>L85</f>
        <v>597927.74</v>
      </c>
      <c r="M80" s="20">
        <f t="shared" ref="M80:Q80" si="24">M85</f>
        <v>927667</v>
      </c>
      <c r="N80" s="20">
        <f t="shared" si="24"/>
        <v>575033</v>
      </c>
      <c r="O80" s="20">
        <f t="shared" si="24"/>
        <v>575033</v>
      </c>
      <c r="P80" s="2">
        <f t="shared" si="24"/>
        <v>0</v>
      </c>
      <c r="Q80" s="2">
        <f t="shared" si="24"/>
        <v>0</v>
      </c>
      <c r="R80" s="49"/>
    </row>
    <row r="81" spans="1:18" s="13" customFormat="1" ht="53.25" customHeight="1" x14ac:dyDescent="0.25">
      <c r="A81" s="92"/>
      <c r="B81" s="97"/>
      <c r="C81" s="1" t="s">
        <v>21</v>
      </c>
      <c r="D81" s="1" t="s">
        <v>9</v>
      </c>
      <c r="E81" s="1" t="s">
        <v>13</v>
      </c>
      <c r="F81" s="1" t="s">
        <v>13</v>
      </c>
      <c r="G81" s="1" t="s">
        <v>13</v>
      </c>
      <c r="H81" s="1" t="s">
        <v>13</v>
      </c>
      <c r="I81" s="2">
        <f t="shared" si="19"/>
        <v>562292</v>
      </c>
      <c r="J81" s="2">
        <f>J87</f>
        <v>52000</v>
      </c>
      <c r="K81" s="28">
        <f>K87</f>
        <v>182000</v>
      </c>
      <c r="L81" s="28">
        <f>L87</f>
        <v>82073</v>
      </c>
      <c r="M81" s="43">
        <f t="shared" ref="M81:Q81" si="25">M87</f>
        <v>82073</v>
      </c>
      <c r="N81" s="43">
        <f t="shared" si="25"/>
        <v>82073</v>
      </c>
      <c r="O81" s="43">
        <f t="shared" si="25"/>
        <v>82073</v>
      </c>
      <c r="P81" s="28">
        <f t="shared" si="25"/>
        <v>0</v>
      </c>
      <c r="Q81" s="28">
        <f t="shared" si="25"/>
        <v>0</v>
      </c>
      <c r="R81" s="49"/>
    </row>
    <row r="82" spans="1:18" s="13" customFormat="1" ht="53.25" customHeight="1" x14ac:dyDescent="0.25">
      <c r="A82" s="92"/>
      <c r="B82" s="97"/>
      <c r="C82" s="1" t="s">
        <v>19</v>
      </c>
      <c r="D82" s="1" t="s">
        <v>9</v>
      </c>
      <c r="E82" s="1" t="s">
        <v>13</v>
      </c>
      <c r="F82" s="1" t="s">
        <v>13</v>
      </c>
      <c r="G82" s="1" t="s">
        <v>13</v>
      </c>
      <c r="H82" s="1" t="s">
        <v>13</v>
      </c>
      <c r="I82" s="2">
        <f t="shared" si="19"/>
        <v>1835577.91</v>
      </c>
      <c r="J82" s="2">
        <f>J89</f>
        <v>453600</v>
      </c>
      <c r="K82" s="2">
        <f>K89</f>
        <v>340069</v>
      </c>
      <c r="L82" s="2">
        <v>384834.91</v>
      </c>
      <c r="M82" s="20">
        <f t="shared" ref="M82:Q82" si="26">M89</f>
        <v>454114</v>
      </c>
      <c r="N82" s="20">
        <f t="shared" si="26"/>
        <v>101480</v>
      </c>
      <c r="O82" s="20">
        <f t="shared" si="26"/>
        <v>101480</v>
      </c>
      <c r="P82" s="2">
        <f t="shared" si="26"/>
        <v>0</v>
      </c>
      <c r="Q82" s="2">
        <f t="shared" si="26"/>
        <v>0</v>
      </c>
      <c r="R82" s="49"/>
    </row>
    <row r="83" spans="1:18" s="13" customFormat="1" ht="31.5" customHeight="1" x14ac:dyDescent="0.25">
      <c r="A83" s="92"/>
      <c r="B83" s="97"/>
      <c r="C83" s="1" t="s">
        <v>60</v>
      </c>
      <c r="D83" s="1" t="s">
        <v>9</v>
      </c>
      <c r="E83" s="1" t="s">
        <v>13</v>
      </c>
      <c r="F83" s="1" t="s">
        <v>13</v>
      </c>
      <c r="G83" s="1" t="s">
        <v>13</v>
      </c>
      <c r="H83" s="1" t="s">
        <v>13</v>
      </c>
      <c r="I83" s="2">
        <f t="shared" si="19"/>
        <v>274440</v>
      </c>
      <c r="J83" s="2">
        <v>0</v>
      </c>
      <c r="K83" s="28">
        <v>0</v>
      </c>
      <c r="L83" s="28">
        <f>L88</f>
        <v>0</v>
      </c>
      <c r="M83" s="43">
        <f t="shared" ref="M83:Q83" si="27">M88</f>
        <v>91480</v>
      </c>
      <c r="N83" s="43">
        <f t="shared" si="27"/>
        <v>91480</v>
      </c>
      <c r="O83" s="43">
        <f t="shared" si="27"/>
        <v>91480</v>
      </c>
      <c r="P83" s="28">
        <f t="shared" si="27"/>
        <v>0</v>
      </c>
      <c r="Q83" s="28">
        <f t="shared" si="27"/>
        <v>0</v>
      </c>
      <c r="R83" s="49"/>
    </row>
    <row r="84" spans="1:18" s="13" customFormat="1" ht="51" customHeight="1" x14ac:dyDescent="0.25">
      <c r="A84" s="92"/>
      <c r="B84" s="97"/>
      <c r="C84" s="1" t="s">
        <v>38</v>
      </c>
      <c r="D84" s="47" t="s">
        <v>9</v>
      </c>
      <c r="E84" s="47" t="s">
        <v>13</v>
      </c>
      <c r="F84" s="47" t="s">
        <v>13</v>
      </c>
      <c r="G84" s="47" t="s">
        <v>13</v>
      </c>
      <c r="H84" s="47" t="s">
        <v>13</v>
      </c>
      <c r="I84" s="2">
        <f t="shared" si="19"/>
        <v>1223119.83</v>
      </c>
      <c r="J84" s="2">
        <f>J90</f>
        <v>0</v>
      </c>
      <c r="K84" s="2">
        <f>K90</f>
        <v>192100</v>
      </c>
      <c r="L84" s="2">
        <f>L90</f>
        <v>131019.83</v>
      </c>
      <c r="M84" s="20">
        <f t="shared" ref="M84:Q84" si="28">M90</f>
        <v>300000</v>
      </c>
      <c r="N84" s="20">
        <f t="shared" si="28"/>
        <v>300000</v>
      </c>
      <c r="O84" s="20">
        <f t="shared" si="28"/>
        <v>300000</v>
      </c>
      <c r="P84" s="2">
        <f t="shared" si="28"/>
        <v>0</v>
      </c>
      <c r="Q84" s="2">
        <f t="shared" si="28"/>
        <v>0</v>
      </c>
      <c r="R84" s="49"/>
    </row>
    <row r="85" spans="1:18" s="13" customFormat="1" ht="54.75" customHeight="1" x14ac:dyDescent="0.25">
      <c r="A85" s="92">
        <v>32</v>
      </c>
      <c r="B85" s="97" t="s">
        <v>80</v>
      </c>
      <c r="C85" s="1" t="s">
        <v>54</v>
      </c>
      <c r="D85" s="47" t="s">
        <v>9</v>
      </c>
      <c r="E85" s="47" t="s">
        <v>13</v>
      </c>
      <c r="F85" s="47" t="s">
        <v>13</v>
      </c>
      <c r="G85" s="47" t="s">
        <v>13</v>
      </c>
      <c r="H85" s="47" t="s">
        <v>13</v>
      </c>
      <c r="I85" s="2">
        <f t="shared" si="19"/>
        <v>3895429.74</v>
      </c>
      <c r="J85" s="2">
        <f>J87+J89+J90</f>
        <v>505600</v>
      </c>
      <c r="K85" s="2">
        <f>K87+K89+K90</f>
        <v>714169</v>
      </c>
      <c r="L85" s="2">
        <f>L87+L89+L90+L88</f>
        <v>597927.74</v>
      </c>
      <c r="M85" s="20">
        <f t="shared" ref="M85:Q85" si="29">M87+M89+M90+M88</f>
        <v>927667</v>
      </c>
      <c r="N85" s="20">
        <f t="shared" si="29"/>
        <v>575033</v>
      </c>
      <c r="O85" s="20">
        <f t="shared" si="29"/>
        <v>575033</v>
      </c>
      <c r="P85" s="2">
        <f t="shared" si="29"/>
        <v>0</v>
      </c>
      <c r="Q85" s="2">
        <f t="shared" si="29"/>
        <v>0</v>
      </c>
      <c r="R85" s="49"/>
    </row>
    <row r="86" spans="1:18" s="13" customFormat="1" ht="24" customHeight="1" x14ac:dyDescent="0.25">
      <c r="A86" s="92"/>
      <c r="B86" s="97"/>
      <c r="C86" s="1" t="s">
        <v>26</v>
      </c>
      <c r="D86" s="113"/>
      <c r="E86" s="114"/>
      <c r="F86" s="114"/>
      <c r="G86" s="114"/>
      <c r="H86" s="114"/>
      <c r="I86" s="114"/>
      <c r="J86" s="114"/>
      <c r="K86" s="114"/>
      <c r="L86" s="114"/>
      <c r="M86" s="114"/>
      <c r="N86" s="115"/>
      <c r="O86" s="30"/>
      <c r="P86" s="21"/>
      <c r="Q86" s="21"/>
      <c r="R86" s="49"/>
    </row>
    <row r="87" spans="1:18" s="13" customFormat="1" ht="75.75" customHeight="1" x14ac:dyDescent="0.25">
      <c r="A87" s="92"/>
      <c r="B87" s="97"/>
      <c r="C87" s="1" t="s">
        <v>21</v>
      </c>
      <c r="D87" s="1" t="s">
        <v>9</v>
      </c>
      <c r="E87" s="1" t="s">
        <v>13</v>
      </c>
      <c r="F87" s="1" t="s">
        <v>13</v>
      </c>
      <c r="G87" s="1" t="s">
        <v>13</v>
      </c>
      <c r="H87" s="1" t="s">
        <v>13</v>
      </c>
      <c r="I87" s="2">
        <f>J87+K87+L87+M87+N87+O87+P87+Q87</f>
        <v>562292</v>
      </c>
      <c r="J87" s="2">
        <v>52000</v>
      </c>
      <c r="K87" s="28">
        <f>252000-70000</f>
        <v>182000</v>
      </c>
      <c r="L87" s="28">
        <v>82073</v>
      </c>
      <c r="M87" s="55">
        <f>L87</f>
        <v>82073</v>
      </c>
      <c r="N87" s="55">
        <f>M87</f>
        <v>82073</v>
      </c>
      <c r="O87" s="55">
        <f>N87</f>
        <v>82073</v>
      </c>
      <c r="P87" s="21">
        <v>0</v>
      </c>
      <c r="Q87" s="21">
        <v>0</v>
      </c>
      <c r="R87" s="49"/>
    </row>
    <row r="88" spans="1:18" s="13" customFormat="1" ht="49.5" customHeight="1" x14ac:dyDescent="0.25">
      <c r="A88" s="92"/>
      <c r="B88" s="97"/>
      <c r="C88" s="1" t="s">
        <v>60</v>
      </c>
      <c r="D88" s="1" t="s">
        <v>9</v>
      </c>
      <c r="E88" s="1" t="s">
        <v>13</v>
      </c>
      <c r="F88" s="1" t="s">
        <v>13</v>
      </c>
      <c r="G88" s="1" t="s">
        <v>13</v>
      </c>
      <c r="H88" s="1" t="s">
        <v>13</v>
      </c>
      <c r="I88" s="2">
        <f t="shared" ref="I88:I90" si="30">J88+K88+L88+M88+N88+O88+P88+Q88</f>
        <v>274440</v>
      </c>
      <c r="J88" s="2">
        <v>0</v>
      </c>
      <c r="K88" s="28">
        <v>0</v>
      </c>
      <c r="L88" s="28">
        <v>0</v>
      </c>
      <c r="M88" s="55">
        <v>91480</v>
      </c>
      <c r="N88" s="55">
        <v>91480</v>
      </c>
      <c r="O88" s="55">
        <v>91480</v>
      </c>
      <c r="P88" s="21">
        <v>0</v>
      </c>
      <c r="Q88" s="21">
        <v>0</v>
      </c>
      <c r="R88" s="49"/>
    </row>
    <row r="89" spans="1:18" s="13" customFormat="1" ht="51.75" customHeight="1" x14ac:dyDescent="0.25">
      <c r="A89" s="92"/>
      <c r="B89" s="97"/>
      <c r="C89" s="1" t="s">
        <v>19</v>
      </c>
      <c r="D89" s="1" t="s">
        <v>9</v>
      </c>
      <c r="E89" s="1" t="s">
        <v>13</v>
      </c>
      <c r="F89" s="1" t="s">
        <v>13</v>
      </c>
      <c r="G89" s="1" t="s">
        <v>13</v>
      </c>
      <c r="H89" s="1" t="s">
        <v>13</v>
      </c>
      <c r="I89" s="2">
        <f t="shared" si="30"/>
        <v>1835577.91</v>
      </c>
      <c r="J89" s="2">
        <v>453600</v>
      </c>
      <c r="K89" s="43">
        <f>361600-37731+16200</f>
        <v>340069</v>
      </c>
      <c r="L89" s="2">
        <v>384834.91</v>
      </c>
      <c r="M89" s="55">
        <v>454114</v>
      </c>
      <c r="N89" s="55">
        <v>101480</v>
      </c>
      <c r="O89" s="55">
        <v>101480</v>
      </c>
      <c r="P89" s="21">
        <v>0</v>
      </c>
      <c r="Q89" s="21">
        <v>0</v>
      </c>
      <c r="R89" s="49"/>
    </row>
    <row r="90" spans="1:18" s="13" customFormat="1" ht="53.25" customHeight="1" x14ac:dyDescent="0.25">
      <c r="A90" s="92"/>
      <c r="B90" s="97"/>
      <c r="C90" s="1" t="s">
        <v>20</v>
      </c>
      <c r="D90" s="1" t="s">
        <v>9</v>
      </c>
      <c r="E90" s="1" t="s">
        <v>13</v>
      </c>
      <c r="F90" s="1" t="s">
        <v>13</v>
      </c>
      <c r="G90" s="1" t="s">
        <v>13</v>
      </c>
      <c r="H90" s="1" t="s">
        <v>13</v>
      </c>
      <c r="I90" s="2">
        <f t="shared" si="30"/>
        <v>1223119.83</v>
      </c>
      <c r="J90" s="2">
        <v>0</v>
      </c>
      <c r="K90" s="43">
        <f>229000-33800-3100</f>
        <v>192100</v>
      </c>
      <c r="L90" s="28">
        <f>200000-68980.17</f>
        <v>131019.83</v>
      </c>
      <c r="M90" s="55">
        <v>300000</v>
      </c>
      <c r="N90" s="55">
        <v>300000</v>
      </c>
      <c r="O90" s="55">
        <v>300000</v>
      </c>
      <c r="P90" s="21">
        <v>0</v>
      </c>
      <c r="Q90" s="21">
        <v>0</v>
      </c>
      <c r="R90" s="49"/>
    </row>
    <row r="91" spans="1:18" s="13" customFormat="1" ht="57.75" customHeight="1" x14ac:dyDescent="0.25">
      <c r="A91" s="14">
        <v>33</v>
      </c>
      <c r="B91" s="26" t="s">
        <v>30</v>
      </c>
      <c r="C91" s="1"/>
      <c r="D91" s="1" t="s">
        <v>9</v>
      </c>
      <c r="E91" s="1" t="s">
        <v>13</v>
      </c>
      <c r="F91" s="1" t="s">
        <v>13</v>
      </c>
      <c r="G91" s="1" t="s">
        <v>13</v>
      </c>
      <c r="H91" s="1" t="s">
        <v>13</v>
      </c>
      <c r="I91" s="2">
        <f>J91+K91+L91+M91+N91+O91+P91+Q91</f>
        <v>3895429.74</v>
      </c>
      <c r="J91" s="2">
        <f t="shared" ref="J91:O91" si="31">J80</f>
        <v>505600</v>
      </c>
      <c r="K91" s="20">
        <f t="shared" si="31"/>
        <v>714169</v>
      </c>
      <c r="L91" s="2">
        <f t="shared" si="31"/>
        <v>597927.74</v>
      </c>
      <c r="M91" s="30">
        <f t="shared" si="31"/>
        <v>927667</v>
      </c>
      <c r="N91" s="30">
        <f t="shared" si="31"/>
        <v>575033</v>
      </c>
      <c r="O91" s="30">
        <f t="shared" si="31"/>
        <v>575033</v>
      </c>
      <c r="P91" s="21">
        <v>0</v>
      </c>
      <c r="Q91" s="21">
        <v>0</v>
      </c>
      <c r="R91" s="49"/>
    </row>
    <row r="92" spans="1:18" s="13" customFormat="1" ht="44.25" customHeight="1" x14ac:dyDescent="0.25">
      <c r="A92" s="48">
        <v>34</v>
      </c>
      <c r="B92" s="50" t="s">
        <v>24</v>
      </c>
      <c r="C92" s="47"/>
      <c r="D92" s="47"/>
      <c r="E92" s="47" t="s">
        <v>13</v>
      </c>
      <c r="F92" s="47" t="s">
        <v>13</v>
      </c>
      <c r="G92" s="47" t="s">
        <v>13</v>
      </c>
      <c r="H92" s="47" t="s">
        <v>13</v>
      </c>
      <c r="I92" s="2">
        <f t="shared" ref="I92:I95" si="32">J92+K92+L92+M92+N92+O92+P92+Q92</f>
        <v>2798360203.8999996</v>
      </c>
      <c r="J92" s="2">
        <f>J91+J39+J40</f>
        <v>379094629.33999997</v>
      </c>
      <c r="K92" s="2">
        <f>K91+K39+K40</f>
        <v>430042865.21000004</v>
      </c>
      <c r="L92" s="2">
        <f>L91+L40+L39</f>
        <v>461001041.55000001</v>
      </c>
      <c r="M92" s="20">
        <f>M91+M40+M41</f>
        <v>557222981.79999995</v>
      </c>
      <c r="N92" s="20">
        <f>N91+N40+N41</f>
        <v>485499343</v>
      </c>
      <c r="O92" s="20">
        <f>O91+O40+O41</f>
        <v>485499343</v>
      </c>
      <c r="P92" s="21">
        <v>0</v>
      </c>
      <c r="Q92" s="21">
        <v>0</v>
      </c>
      <c r="R92" s="49"/>
    </row>
    <row r="93" spans="1:18" s="13" customFormat="1" ht="28.5" customHeight="1" x14ac:dyDescent="0.25">
      <c r="A93" s="48">
        <v>35</v>
      </c>
      <c r="B93" s="50" t="s">
        <v>26</v>
      </c>
      <c r="C93" s="47"/>
      <c r="D93" s="47"/>
      <c r="E93" s="47"/>
      <c r="F93" s="47"/>
      <c r="G93" s="47"/>
      <c r="H93" s="47"/>
      <c r="I93" s="2"/>
      <c r="J93" s="47"/>
      <c r="K93" s="47"/>
      <c r="L93" s="47"/>
      <c r="M93" s="59"/>
      <c r="N93" s="57"/>
      <c r="O93" s="30"/>
      <c r="P93" s="21"/>
      <c r="Q93" s="21"/>
      <c r="R93" s="49"/>
    </row>
    <row r="94" spans="1:18" s="13" customFormat="1" ht="43.5" customHeight="1" x14ac:dyDescent="0.25">
      <c r="A94" s="48">
        <v>36</v>
      </c>
      <c r="B94" s="50" t="s">
        <v>9</v>
      </c>
      <c r="C94" s="47"/>
      <c r="D94" s="47"/>
      <c r="E94" s="47" t="s">
        <v>13</v>
      </c>
      <c r="F94" s="47" t="s">
        <v>13</v>
      </c>
      <c r="G94" s="47" t="s">
        <v>13</v>
      </c>
      <c r="H94" s="47" t="s">
        <v>13</v>
      </c>
      <c r="I94" s="2">
        <f t="shared" si="32"/>
        <v>2730909706.5999999</v>
      </c>
      <c r="J94" s="2">
        <f t="shared" ref="J94:O95" si="33">J38</f>
        <v>372889129.33999997</v>
      </c>
      <c r="K94" s="2">
        <f t="shared" si="33"/>
        <v>424396537.21000004</v>
      </c>
      <c r="L94" s="2">
        <f t="shared" si="33"/>
        <v>452889558.25</v>
      </c>
      <c r="M94" s="30">
        <f t="shared" si="33"/>
        <v>515872697.80000001</v>
      </c>
      <c r="N94" s="30">
        <f t="shared" si="33"/>
        <v>482430892</v>
      </c>
      <c r="O94" s="30">
        <f t="shared" si="33"/>
        <v>482430892</v>
      </c>
      <c r="P94" s="21">
        <v>0</v>
      </c>
      <c r="Q94" s="21">
        <v>0</v>
      </c>
      <c r="R94" s="49"/>
    </row>
    <row r="95" spans="1:18" s="13" customFormat="1" ht="45" customHeight="1" x14ac:dyDescent="0.25">
      <c r="A95" s="48">
        <v>37</v>
      </c>
      <c r="B95" s="50" t="s">
        <v>32</v>
      </c>
      <c r="C95" s="47"/>
      <c r="D95" s="47"/>
      <c r="E95" s="47" t="s">
        <v>13</v>
      </c>
      <c r="F95" s="47" t="s">
        <v>13</v>
      </c>
      <c r="G95" s="47" t="s">
        <v>13</v>
      </c>
      <c r="H95" s="47" t="s">
        <v>13</v>
      </c>
      <c r="I95" s="2">
        <f t="shared" si="32"/>
        <v>67450497.299999997</v>
      </c>
      <c r="J95" s="2">
        <f t="shared" si="33"/>
        <v>6205500</v>
      </c>
      <c r="K95" s="2">
        <f t="shared" si="33"/>
        <v>5646328</v>
      </c>
      <c r="L95" s="2">
        <f t="shared" si="33"/>
        <v>8111483.2999999998</v>
      </c>
      <c r="M95" s="30">
        <f t="shared" si="33"/>
        <v>41350284</v>
      </c>
      <c r="N95" s="30">
        <f t="shared" si="33"/>
        <v>3068451</v>
      </c>
      <c r="O95" s="30">
        <f t="shared" si="33"/>
        <v>3068451</v>
      </c>
      <c r="P95" s="21">
        <v>0</v>
      </c>
      <c r="Q95" s="21">
        <v>0</v>
      </c>
      <c r="R95" s="49"/>
    </row>
    <row r="96" spans="1:18" s="13" customFormat="1" ht="33.75" customHeight="1" x14ac:dyDescent="0.25">
      <c r="A96" s="99" t="s">
        <v>41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1"/>
      <c r="R96" s="49"/>
    </row>
    <row r="97" spans="1:18" s="13" customFormat="1" ht="51.75" customHeight="1" x14ac:dyDescent="0.25">
      <c r="A97" s="93">
        <v>38</v>
      </c>
      <c r="B97" s="119" t="s">
        <v>81</v>
      </c>
      <c r="C97" s="98" t="s">
        <v>27</v>
      </c>
      <c r="D97" s="47" t="s">
        <v>42</v>
      </c>
      <c r="E97" s="47" t="s">
        <v>13</v>
      </c>
      <c r="F97" s="47" t="s">
        <v>13</v>
      </c>
      <c r="G97" s="47" t="s">
        <v>13</v>
      </c>
      <c r="H97" s="47" t="s">
        <v>13</v>
      </c>
      <c r="I97" s="2">
        <f t="shared" ref="I97:I102" si="34">SUM(J97:M97)</f>
        <v>100438120</v>
      </c>
      <c r="J97" s="2">
        <v>0</v>
      </c>
      <c r="K97" s="2">
        <f>K99</f>
        <v>100438120</v>
      </c>
      <c r="L97" s="2">
        <v>0</v>
      </c>
      <c r="M97" s="30">
        <v>0</v>
      </c>
      <c r="N97" s="30">
        <v>0</v>
      </c>
      <c r="O97" s="30">
        <v>0</v>
      </c>
      <c r="P97" s="21">
        <v>0</v>
      </c>
      <c r="Q97" s="21">
        <v>0</v>
      </c>
      <c r="R97" s="49"/>
    </row>
    <row r="98" spans="1:18" s="13" customFormat="1" ht="52.5" customHeight="1" x14ac:dyDescent="0.25">
      <c r="A98" s="93"/>
      <c r="B98" s="119"/>
      <c r="C98" s="98"/>
      <c r="D98" s="47" t="s">
        <v>32</v>
      </c>
      <c r="E98" s="47" t="s">
        <v>13</v>
      </c>
      <c r="F98" s="47" t="s">
        <v>13</v>
      </c>
      <c r="G98" s="47" t="s">
        <v>13</v>
      </c>
      <c r="H98" s="47" t="s">
        <v>13</v>
      </c>
      <c r="I98" s="2">
        <f t="shared" si="34"/>
        <v>39059268.890000001</v>
      </c>
      <c r="J98" s="2">
        <v>0</v>
      </c>
      <c r="K98" s="2">
        <f>K100</f>
        <v>39059268.890000001</v>
      </c>
      <c r="L98" s="2">
        <v>0</v>
      </c>
      <c r="M98" s="30">
        <v>0</v>
      </c>
      <c r="N98" s="30">
        <v>0</v>
      </c>
      <c r="O98" s="30">
        <v>0</v>
      </c>
      <c r="P98" s="21">
        <v>0</v>
      </c>
      <c r="Q98" s="21">
        <v>0</v>
      </c>
      <c r="R98" s="49"/>
    </row>
    <row r="99" spans="1:18" s="13" customFormat="1" ht="48" customHeight="1" x14ac:dyDescent="0.25">
      <c r="A99" s="92">
        <v>39</v>
      </c>
      <c r="B99" s="97" t="s">
        <v>82</v>
      </c>
      <c r="C99" s="98" t="s">
        <v>27</v>
      </c>
      <c r="D99" s="1" t="s">
        <v>42</v>
      </c>
      <c r="E99" s="1" t="s">
        <v>13</v>
      </c>
      <c r="F99" s="1" t="s">
        <v>13</v>
      </c>
      <c r="G99" s="1" t="s">
        <v>13</v>
      </c>
      <c r="H99" s="1" t="s">
        <v>13</v>
      </c>
      <c r="I99" s="2">
        <f t="shared" si="34"/>
        <v>100438120</v>
      </c>
      <c r="J99" s="2">
        <v>0</v>
      </c>
      <c r="K99" s="20">
        <f>K107</f>
        <v>100438120</v>
      </c>
      <c r="L99" s="2">
        <v>0</v>
      </c>
      <c r="M99" s="30">
        <v>0</v>
      </c>
      <c r="N99" s="30">
        <v>0</v>
      </c>
      <c r="O99" s="30">
        <v>0</v>
      </c>
      <c r="P99" s="21">
        <v>0</v>
      </c>
      <c r="Q99" s="21">
        <v>0</v>
      </c>
      <c r="R99" s="49"/>
    </row>
    <row r="100" spans="1:18" s="13" customFormat="1" ht="59.25" customHeight="1" x14ac:dyDescent="0.25">
      <c r="A100" s="92"/>
      <c r="B100" s="97"/>
      <c r="C100" s="98"/>
      <c r="D100" s="1" t="s">
        <v>32</v>
      </c>
      <c r="E100" s="1" t="s">
        <v>13</v>
      </c>
      <c r="F100" s="1" t="s">
        <v>13</v>
      </c>
      <c r="G100" s="1" t="s">
        <v>13</v>
      </c>
      <c r="H100" s="1" t="s">
        <v>13</v>
      </c>
      <c r="I100" s="2">
        <f t="shared" si="34"/>
        <v>39059268.890000001</v>
      </c>
      <c r="J100" s="2">
        <v>0</v>
      </c>
      <c r="K100" s="20">
        <f>K108</f>
        <v>39059268.890000001</v>
      </c>
      <c r="L100" s="2">
        <v>0</v>
      </c>
      <c r="M100" s="30">
        <v>0</v>
      </c>
      <c r="N100" s="30">
        <v>0</v>
      </c>
      <c r="O100" s="30">
        <v>0</v>
      </c>
      <c r="P100" s="21">
        <v>0</v>
      </c>
      <c r="Q100" s="21">
        <v>0</v>
      </c>
      <c r="R100" s="49"/>
    </row>
    <row r="101" spans="1:18" s="13" customFormat="1" ht="48.75" customHeight="1" x14ac:dyDescent="0.25">
      <c r="A101" s="93">
        <v>40</v>
      </c>
      <c r="B101" s="97" t="s">
        <v>83</v>
      </c>
      <c r="C101" s="98" t="s">
        <v>27</v>
      </c>
      <c r="D101" s="1" t="s">
        <v>42</v>
      </c>
      <c r="E101" s="1" t="s">
        <v>13</v>
      </c>
      <c r="F101" s="1" t="s">
        <v>13</v>
      </c>
      <c r="G101" s="1" t="s">
        <v>13</v>
      </c>
      <c r="H101" s="1" t="s">
        <v>13</v>
      </c>
      <c r="I101" s="2">
        <f t="shared" si="34"/>
        <v>66958745.460000001</v>
      </c>
      <c r="J101" s="2">
        <v>0</v>
      </c>
      <c r="K101" s="20">
        <f>66958745.46</f>
        <v>66958745.460000001</v>
      </c>
      <c r="L101" s="2">
        <v>0</v>
      </c>
      <c r="M101" s="30">
        <v>0</v>
      </c>
      <c r="N101" s="30">
        <v>0</v>
      </c>
      <c r="O101" s="30">
        <v>0</v>
      </c>
      <c r="P101" s="21">
        <v>0</v>
      </c>
      <c r="Q101" s="21">
        <v>0</v>
      </c>
      <c r="R101" s="49"/>
    </row>
    <row r="102" spans="1:18" s="13" customFormat="1" ht="52.5" customHeight="1" x14ac:dyDescent="0.25">
      <c r="A102" s="93"/>
      <c r="B102" s="97"/>
      <c r="C102" s="98"/>
      <c r="D102" s="1" t="s">
        <v>32</v>
      </c>
      <c r="E102" s="1" t="s">
        <v>13</v>
      </c>
      <c r="F102" s="1" t="s">
        <v>13</v>
      </c>
      <c r="G102" s="1" t="s">
        <v>13</v>
      </c>
      <c r="H102" s="1" t="s">
        <v>13</v>
      </c>
      <c r="I102" s="2">
        <f t="shared" si="34"/>
        <v>26039512.129999999</v>
      </c>
      <c r="J102" s="2">
        <v>0</v>
      </c>
      <c r="K102" s="20">
        <f>26039517.24-5.11</f>
        <v>26039512.129999999</v>
      </c>
      <c r="L102" s="2">
        <v>0</v>
      </c>
      <c r="M102" s="30">
        <v>0</v>
      </c>
      <c r="N102" s="30">
        <v>0</v>
      </c>
      <c r="O102" s="30">
        <v>0</v>
      </c>
      <c r="P102" s="21">
        <v>0</v>
      </c>
      <c r="Q102" s="21">
        <v>0</v>
      </c>
      <c r="R102" s="49"/>
    </row>
    <row r="103" spans="1:18" s="13" customFormat="1" ht="51" customHeight="1" x14ac:dyDescent="0.25">
      <c r="A103" s="92">
        <v>41</v>
      </c>
      <c r="B103" s="97" t="s">
        <v>84</v>
      </c>
      <c r="C103" s="98" t="s">
        <v>27</v>
      </c>
      <c r="D103" s="1" t="s">
        <v>42</v>
      </c>
      <c r="E103" s="1" t="s">
        <v>13</v>
      </c>
      <c r="F103" s="1" t="s">
        <v>13</v>
      </c>
      <c r="G103" s="1" t="s">
        <v>13</v>
      </c>
      <c r="H103" s="1" t="s">
        <v>13</v>
      </c>
      <c r="I103" s="2">
        <f t="shared" ref="I103:I107" si="35">SUM(J103:M103)</f>
        <v>33479374.539999999</v>
      </c>
      <c r="J103" s="2">
        <v>0</v>
      </c>
      <c r="K103" s="20">
        <v>33479374.539999999</v>
      </c>
      <c r="L103" s="2">
        <v>0</v>
      </c>
      <c r="M103" s="30">
        <v>0</v>
      </c>
      <c r="N103" s="30">
        <v>0</v>
      </c>
      <c r="O103" s="30">
        <v>0</v>
      </c>
      <c r="P103" s="21">
        <v>0</v>
      </c>
      <c r="Q103" s="21">
        <v>0</v>
      </c>
      <c r="R103" s="49"/>
    </row>
    <row r="104" spans="1:18" s="13" customFormat="1" ht="58.5" customHeight="1" x14ac:dyDescent="0.25">
      <c r="A104" s="92"/>
      <c r="B104" s="97"/>
      <c r="C104" s="98"/>
      <c r="D104" s="1" t="s">
        <v>32</v>
      </c>
      <c r="E104" s="1" t="s">
        <v>13</v>
      </c>
      <c r="F104" s="1" t="s">
        <v>13</v>
      </c>
      <c r="G104" s="1" t="s">
        <v>13</v>
      </c>
      <c r="H104" s="1" t="s">
        <v>13</v>
      </c>
      <c r="I104" s="2">
        <f t="shared" si="35"/>
        <v>13019756.76</v>
      </c>
      <c r="J104" s="2">
        <v>0</v>
      </c>
      <c r="K104" s="20">
        <v>13019756.76</v>
      </c>
      <c r="L104" s="2">
        <v>0</v>
      </c>
      <c r="M104" s="30">
        <v>0</v>
      </c>
      <c r="N104" s="30">
        <v>0</v>
      </c>
      <c r="O104" s="30">
        <v>0</v>
      </c>
      <c r="P104" s="21">
        <v>0</v>
      </c>
      <c r="Q104" s="21">
        <v>0</v>
      </c>
      <c r="R104" s="49"/>
    </row>
    <row r="105" spans="1:18" s="13" customFormat="1" ht="48" hidden="1" customHeight="1" x14ac:dyDescent="0.25">
      <c r="A105" s="93">
        <v>42</v>
      </c>
      <c r="B105" s="97" t="s">
        <v>85</v>
      </c>
      <c r="C105" s="98" t="s">
        <v>27</v>
      </c>
      <c r="D105" s="1" t="s">
        <v>42</v>
      </c>
      <c r="E105" s="1" t="s">
        <v>13</v>
      </c>
      <c r="F105" s="1" t="s">
        <v>13</v>
      </c>
      <c r="G105" s="1" t="s">
        <v>13</v>
      </c>
      <c r="H105" s="1" t="s">
        <v>13</v>
      </c>
      <c r="I105" s="2">
        <f>K105</f>
        <v>0</v>
      </c>
      <c r="J105" s="2">
        <v>0</v>
      </c>
      <c r="K105" s="20">
        <v>0</v>
      </c>
      <c r="L105" s="2">
        <v>0</v>
      </c>
      <c r="M105" s="30">
        <v>0</v>
      </c>
      <c r="N105" s="30"/>
      <c r="O105" s="30"/>
      <c r="P105" s="21"/>
      <c r="Q105" s="21"/>
      <c r="R105" s="49"/>
    </row>
    <row r="106" spans="1:18" s="13" customFormat="1" ht="48" hidden="1" customHeight="1" x14ac:dyDescent="0.25">
      <c r="A106" s="93"/>
      <c r="B106" s="97"/>
      <c r="C106" s="98"/>
      <c r="D106" s="1" t="s">
        <v>32</v>
      </c>
      <c r="E106" s="1" t="s">
        <v>13</v>
      </c>
      <c r="F106" s="1" t="s">
        <v>13</v>
      </c>
      <c r="G106" s="1" t="s">
        <v>13</v>
      </c>
      <c r="H106" s="1" t="s">
        <v>13</v>
      </c>
      <c r="I106" s="2">
        <f>K106</f>
        <v>0</v>
      </c>
      <c r="J106" s="2">
        <v>0</v>
      </c>
      <c r="K106" s="20">
        <v>0</v>
      </c>
      <c r="L106" s="2">
        <v>0</v>
      </c>
      <c r="M106" s="30">
        <v>0</v>
      </c>
      <c r="N106" s="30"/>
      <c r="O106" s="30"/>
      <c r="P106" s="21"/>
      <c r="Q106" s="21"/>
      <c r="R106" s="49"/>
    </row>
    <row r="107" spans="1:18" s="13" customFormat="1" ht="39" customHeight="1" x14ac:dyDescent="0.25">
      <c r="A107" s="92">
        <v>42</v>
      </c>
      <c r="B107" s="97" t="s">
        <v>43</v>
      </c>
      <c r="C107" s="98"/>
      <c r="D107" s="1" t="s">
        <v>42</v>
      </c>
      <c r="E107" s="1" t="s">
        <v>13</v>
      </c>
      <c r="F107" s="1" t="s">
        <v>13</v>
      </c>
      <c r="G107" s="1" t="s">
        <v>13</v>
      </c>
      <c r="H107" s="1" t="s">
        <v>13</v>
      </c>
      <c r="I107" s="2">
        <f t="shared" si="35"/>
        <v>100438120</v>
      </c>
      <c r="J107" s="2">
        <v>0</v>
      </c>
      <c r="K107" s="20">
        <f>SUM(K101+K103+K105)</f>
        <v>100438120</v>
      </c>
      <c r="L107" s="2">
        <v>0</v>
      </c>
      <c r="M107" s="30">
        <v>0</v>
      </c>
      <c r="N107" s="30">
        <v>0</v>
      </c>
      <c r="O107" s="30">
        <v>0</v>
      </c>
      <c r="P107" s="21">
        <v>0</v>
      </c>
      <c r="Q107" s="21">
        <v>0</v>
      </c>
      <c r="R107" s="49"/>
    </row>
    <row r="108" spans="1:18" s="13" customFormat="1" ht="48.75" customHeight="1" x14ac:dyDescent="0.25">
      <c r="A108" s="92"/>
      <c r="B108" s="97"/>
      <c r="C108" s="98"/>
      <c r="D108" s="1" t="s">
        <v>32</v>
      </c>
      <c r="E108" s="1" t="s">
        <v>13</v>
      </c>
      <c r="F108" s="1" t="s">
        <v>13</v>
      </c>
      <c r="G108" s="1" t="s">
        <v>13</v>
      </c>
      <c r="H108" s="1" t="s">
        <v>13</v>
      </c>
      <c r="I108" s="2">
        <f>SUM(J108:M108)</f>
        <v>39059268.890000001</v>
      </c>
      <c r="J108" s="2">
        <v>0</v>
      </c>
      <c r="K108" s="20">
        <f>SUM(K102+K104+K106)</f>
        <v>39059268.890000001</v>
      </c>
      <c r="L108" s="2">
        <v>0</v>
      </c>
      <c r="M108" s="30">
        <v>0</v>
      </c>
      <c r="N108" s="30">
        <v>0</v>
      </c>
      <c r="O108" s="30">
        <v>0</v>
      </c>
      <c r="P108" s="21">
        <v>0</v>
      </c>
      <c r="Q108" s="21">
        <v>0</v>
      </c>
      <c r="R108" s="49"/>
    </row>
    <row r="109" spans="1:18" s="13" customFormat="1" ht="60" customHeight="1" x14ac:dyDescent="0.25">
      <c r="A109" s="93">
        <v>43</v>
      </c>
      <c r="B109" s="102" t="s">
        <v>93</v>
      </c>
      <c r="C109" s="98" t="s">
        <v>27</v>
      </c>
      <c r="D109" s="1" t="s">
        <v>42</v>
      </c>
      <c r="E109" s="1" t="s">
        <v>13</v>
      </c>
      <c r="F109" s="1" t="s">
        <v>13</v>
      </c>
      <c r="G109" s="1" t="s">
        <v>13</v>
      </c>
      <c r="H109" s="1" t="s">
        <v>13</v>
      </c>
      <c r="I109" s="2">
        <v>0</v>
      </c>
      <c r="J109" s="2">
        <v>0</v>
      </c>
      <c r="K109" s="20">
        <v>0</v>
      </c>
      <c r="L109" s="2">
        <v>0</v>
      </c>
      <c r="M109" s="30">
        <v>0</v>
      </c>
      <c r="N109" s="30">
        <v>0</v>
      </c>
      <c r="O109" s="30">
        <v>0</v>
      </c>
      <c r="P109" s="21">
        <v>0</v>
      </c>
      <c r="Q109" s="21">
        <v>0</v>
      </c>
      <c r="R109" s="49"/>
    </row>
    <row r="110" spans="1:18" s="13" customFormat="1" ht="54.75" customHeight="1" x14ac:dyDescent="0.25">
      <c r="A110" s="93"/>
      <c r="B110" s="103"/>
      <c r="C110" s="98"/>
      <c r="D110" s="1" t="s">
        <v>32</v>
      </c>
      <c r="E110" s="1" t="s">
        <v>13</v>
      </c>
      <c r="F110" s="1" t="s">
        <v>13</v>
      </c>
      <c r="G110" s="1" t="s">
        <v>13</v>
      </c>
      <c r="H110" s="1" t="s">
        <v>13</v>
      </c>
      <c r="I110" s="2">
        <v>0</v>
      </c>
      <c r="J110" s="2">
        <v>0</v>
      </c>
      <c r="K110" s="20">
        <v>0</v>
      </c>
      <c r="L110" s="2">
        <v>0</v>
      </c>
      <c r="M110" s="30">
        <v>0</v>
      </c>
      <c r="N110" s="30">
        <v>0</v>
      </c>
      <c r="O110" s="30">
        <v>0</v>
      </c>
      <c r="P110" s="21">
        <v>0</v>
      </c>
      <c r="Q110" s="21">
        <v>0</v>
      </c>
      <c r="R110" s="49"/>
    </row>
    <row r="111" spans="1:18" s="13" customFormat="1" ht="40.5" customHeight="1" x14ac:dyDescent="0.25">
      <c r="A111" s="92">
        <v>44</v>
      </c>
      <c r="B111" s="102" t="s">
        <v>86</v>
      </c>
      <c r="C111" s="98" t="s">
        <v>27</v>
      </c>
      <c r="D111" s="1" t="s">
        <v>42</v>
      </c>
      <c r="E111" s="1" t="s">
        <v>13</v>
      </c>
      <c r="F111" s="1" t="s">
        <v>13</v>
      </c>
      <c r="G111" s="1" t="s">
        <v>13</v>
      </c>
      <c r="H111" s="1" t="s">
        <v>13</v>
      </c>
      <c r="I111" s="2">
        <v>0</v>
      </c>
      <c r="J111" s="2">
        <v>0</v>
      </c>
      <c r="K111" s="20">
        <v>0</v>
      </c>
      <c r="L111" s="2">
        <v>0</v>
      </c>
      <c r="M111" s="30">
        <v>0</v>
      </c>
      <c r="N111" s="30">
        <v>0</v>
      </c>
      <c r="O111" s="30">
        <v>0</v>
      </c>
      <c r="P111" s="21">
        <v>0</v>
      </c>
      <c r="Q111" s="21">
        <v>0</v>
      </c>
      <c r="R111" s="49"/>
    </row>
    <row r="112" spans="1:18" s="13" customFormat="1" ht="64.5" customHeight="1" x14ac:dyDescent="0.25">
      <c r="A112" s="92"/>
      <c r="B112" s="103"/>
      <c r="C112" s="98"/>
      <c r="D112" s="1" t="s">
        <v>32</v>
      </c>
      <c r="E112" s="1" t="s">
        <v>13</v>
      </c>
      <c r="F112" s="1" t="s">
        <v>13</v>
      </c>
      <c r="G112" s="1" t="s">
        <v>13</v>
      </c>
      <c r="H112" s="1" t="s">
        <v>13</v>
      </c>
      <c r="I112" s="2">
        <v>0</v>
      </c>
      <c r="J112" s="2">
        <v>0</v>
      </c>
      <c r="K112" s="20">
        <v>0</v>
      </c>
      <c r="L112" s="2">
        <v>0</v>
      </c>
      <c r="M112" s="30">
        <v>0</v>
      </c>
      <c r="N112" s="30">
        <v>0</v>
      </c>
      <c r="O112" s="30">
        <v>0</v>
      </c>
      <c r="P112" s="21">
        <v>0</v>
      </c>
      <c r="Q112" s="21">
        <v>0</v>
      </c>
      <c r="R112" s="49"/>
    </row>
    <row r="113" spans="1:18" s="13" customFormat="1" ht="48.75" customHeight="1" x14ac:dyDescent="0.25">
      <c r="A113" s="93">
        <v>45</v>
      </c>
      <c r="B113" s="97" t="s">
        <v>44</v>
      </c>
      <c r="C113" s="98"/>
      <c r="D113" s="1" t="s">
        <v>42</v>
      </c>
      <c r="E113" s="1" t="s">
        <v>13</v>
      </c>
      <c r="F113" s="1" t="s">
        <v>13</v>
      </c>
      <c r="G113" s="1" t="s">
        <v>13</v>
      </c>
      <c r="H113" s="1" t="s">
        <v>13</v>
      </c>
      <c r="I113" s="2">
        <v>0</v>
      </c>
      <c r="J113" s="2">
        <v>0</v>
      </c>
      <c r="K113" s="20">
        <v>0</v>
      </c>
      <c r="L113" s="2">
        <v>0</v>
      </c>
      <c r="M113" s="30">
        <v>0</v>
      </c>
      <c r="N113" s="30">
        <v>0</v>
      </c>
      <c r="O113" s="30">
        <v>0</v>
      </c>
      <c r="P113" s="21">
        <v>0</v>
      </c>
      <c r="Q113" s="21">
        <v>0</v>
      </c>
      <c r="R113" s="49"/>
    </row>
    <row r="114" spans="1:18" s="13" customFormat="1" ht="55.5" customHeight="1" x14ac:dyDescent="0.25">
      <c r="A114" s="93"/>
      <c r="B114" s="97"/>
      <c r="C114" s="98"/>
      <c r="D114" s="1" t="s">
        <v>32</v>
      </c>
      <c r="E114" s="1" t="s">
        <v>13</v>
      </c>
      <c r="F114" s="1" t="s">
        <v>13</v>
      </c>
      <c r="G114" s="1" t="s">
        <v>13</v>
      </c>
      <c r="H114" s="1" t="s">
        <v>13</v>
      </c>
      <c r="I114" s="2">
        <v>0</v>
      </c>
      <c r="J114" s="2">
        <v>0</v>
      </c>
      <c r="K114" s="20">
        <v>0</v>
      </c>
      <c r="L114" s="2">
        <v>0</v>
      </c>
      <c r="M114" s="30">
        <v>0</v>
      </c>
      <c r="N114" s="30">
        <v>0</v>
      </c>
      <c r="O114" s="30">
        <v>0</v>
      </c>
      <c r="P114" s="21">
        <v>0</v>
      </c>
      <c r="Q114" s="21">
        <v>0</v>
      </c>
      <c r="R114" s="49"/>
    </row>
    <row r="115" spans="1:18" s="13" customFormat="1" ht="27" customHeight="1" x14ac:dyDescent="0.25">
      <c r="A115" s="70">
        <v>46</v>
      </c>
      <c r="B115" s="26" t="s">
        <v>24</v>
      </c>
      <c r="C115" s="1"/>
      <c r="D115" s="1"/>
      <c r="E115" s="1" t="s">
        <v>13</v>
      </c>
      <c r="F115" s="1" t="s">
        <v>13</v>
      </c>
      <c r="G115" s="1" t="s">
        <v>13</v>
      </c>
      <c r="H115" s="1" t="s">
        <v>13</v>
      </c>
      <c r="I115" s="2">
        <f>SUM(J115:N115)</f>
        <v>139497388.88999999</v>
      </c>
      <c r="J115" s="2">
        <v>0</v>
      </c>
      <c r="K115" s="20">
        <f>SUM(K107:K108)</f>
        <v>139497388.88999999</v>
      </c>
      <c r="L115" s="2">
        <v>0</v>
      </c>
      <c r="M115" s="60">
        <v>0</v>
      </c>
      <c r="N115" s="30">
        <v>0</v>
      </c>
      <c r="O115" s="30">
        <v>0</v>
      </c>
      <c r="P115" s="21">
        <v>0</v>
      </c>
      <c r="Q115" s="21">
        <v>0</v>
      </c>
      <c r="R115" s="49"/>
    </row>
    <row r="116" spans="1:18" s="13" customFormat="1" ht="62.25" customHeight="1" x14ac:dyDescent="0.25">
      <c r="A116" s="70">
        <v>47</v>
      </c>
      <c r="B116" s="26" t="s">
        <v>26</v>
      </c>
      <c r="C116" s="1"/>
      <c r="D116" s="1"/>
      <c r="E116" s="1"/>
      <c r="F116" s="1"/>
      <c r="G116" s="1"/>
      <c r="H116" s="1"/>
      <c r="I116" s="2"/>
      <c r="J116" s="2"/>
      <c r="K116" s="20"/>
      <c r="L116" s="2"/>
      <c r="M116" s="30"/>
      <c r="N116" s="30"/>
      <c r="O116" s="30"/>
      <c r="P116" s="21"/>
      <c r="Q116" s="21"/>
      <c r="R116" s="49"/>
    </row>
    <row r="117" spans="1:18" s="13" customFormat="1" ht="26.25" customHeight="1" x14ac:dyDescent="0.25">
      <c r="A117" s="70">
        <v>48</v>
      </c>
      <c r="B117" s="26" t="s">
        <v>42</v>
      </c>
      <c r="C117" s="1"/>
      <c r="D117" s="1"/>
      <c r="E117" s="1" t="s">
        <v>13</v>
      </c>
      <c r="F117" s="1" t="s">
        <v>13</v>
      </c>
      <c r="G117" s="1" t="s">
        <v>13</v>
      </c>
      <c r="H117" s="1" t="s">
        <v>13</v>
      </c>
      <c r="I117" s="2">
        <f>SUM(J117:M117)</f>
        <v>100438120</v>
      </c>
      <c r="J117" s="2">
        <v>0</v>
      </c>
      <c r="K117" s="20">
        <f>SUM(K107)</f>
        <v>100438120</v>
      </c>
      <c r="L117" s="2">
        <v>0</v>
      </c>
      <c r="M117" s="30">
        <v>0</v>
      </c>
      <c r="N117" s="30">
        <v>0</v>
      </c>
      <c r="O117" s="30">
        <v>0</v>
      </c>
      <c r="P117" s="21">
        <v>0</v>
      </c>
      <c r="Q117" s="21">
        <v>0</v>
      </c>
      <c r="R117" s="49"/>
    </row>
    <row r="118" spans="1:18" s="13" customFormat="1" ht="37.5" customHeight="1" x14ac:dyDescent="0.25">
      <c r="A118" s="70">
        <v>49</v>
      </c>
      <c r="B118" s="26" t="s">
        <v>32</v>
      </c>
      <c r="C118" s="1"/>
      <c r="D118" s="1"/>
      <c r="E118" s="1" t="s">
        <v>13</v>
      </c>
      <c r="F118" s="1" t="s">
        <v>13</v>
      </c>
      <c r="G118" s="1" t="s">
        <v>13</v>
      </c>
      <c r="H118" s="1" t="s">
        <v>13</v>
      </c>
      <c r="I118" s="2">
        <f>SUM(J118:M118)</f>
        <v>39059268.890000001</v>
      </c>
      <c r="J118" s="2">
        <v>0</v>
      </c>
      <c r="K118" s="44">
        <f>K108</f>
        <v>39059268.890000001</v>
      </c>
      <c r="L118" s="2">
        <v>0</v>
      </c>
      <c r="M118" s="30">
        <v>0</v>
      </c>
      <c r="N118" s="30">
        <v>0</v>
      </c>
      <c r="O118" s="30">
        <v>0</v>
      </c>
      <c r="P118" s="21">
        <v>0</v>
      </c>
      <c r="Q118" s="21">
        <v>0</v>
      </c>
      <c r="R118" s="49"/>
    </row>
    <row r="119" spans="1:18" ht="55.5" customHeight="1" x14ac:dyDescent="0.25">
      <c r="A119" s="70">
        <v>50</v>
      </c>
      <c r="B119" s="26" t="s">
        <v>10</v>
      </c>
      <c r="C119" s="1"/>
      <c r="D119" s="1"/>
      <c r="E119" s="1" t="s">
        <v>13</v>
      </c>
      <c r="F119" s="1" t="s">
        <v>13</v>
      </c>
      <c r="G119" s="1" t="s">
        <v>13</v>
      </c>
      <c r="H119" s="1" t="s">
        <v>13</v>
      </c>
      <c r="I119" s="2">
        <f>J119+K119+L119+M119+N119+Q119+O119+P119</f>
        <v>3603338723.9299998</v>
      </c>
      <c r="J119" s="2">
        <f>J15+J19+J28+J29</f>
        <v>390711350.44</v>
      </c>
      <c r="K119" s="43">
        <f>K121+K122+K123</f>
        <v>584295408.25</v>
      </c>
      <c r="L119" s="2">
        <f>L121+L122</f>
        <v>486748809.75</v>
      </c>
      <c r="M119" s="30">
        <f>M122+M121</f>
        <v>1051200229.85</v>
      </c>
      <c r="N119" s="30">
        <f>N122+N121</f>
        <v>527107446</v>
      </c>
      <c r="O119" s="30">
        <f>O122+O121</f>
        <v>527107446</v>
      </c>
      <c r="P119" s="21">
        <f>P11</f>
        <v>19719007.440000001</v>
      </c>
      <c r="Q119" s="21">
        <f>Q11</f>
        <v>16449026.199999999</v>
      </c>
      <c r="R119" s="49"/>
    </row>
    <row r="120" spans="1:18" ht="28.5" customHeight="1" x14ac:dyDescent="0.25">
      <c r="A120" s="14">
        <v>51</v>
      </c>
      <c r="B120" s="26" t="s">
        <v>26</v>
      </c>
      <c r="C120" s="1"/>
      <c r="D120" s="1"/>
      <c r="E120" s="1"/>
      <c r="F120" s="1"/>
      <c r="G120" s="1"/>
      <c r="H120" s="1"/>
      <c r="I120" s="2"/>
      <c r="J120" s="2"/>
      <c r="K120" s="20"/>
      <c r="L120" s="2"/>
      <c r="M120" s="30"/>
      <c r="N120" s="57"/>
      <c r="O120" s="30"/>
      <c r="P120" s="21"/>
      <c r="Q120" s="21"/>
      <c r="R120" s="49"/>
    </row>
    <row r="121" spans="1:18" ht="37.5" customHeight="1" x14ac:dyDescent="0.25">
      <c r="A121" s="14">
        <v>52</v>
      </c>
      <c r="B121" s="26" t="s">
        <v>9</v>
      </c>
      <c r="C121" s="1"/>
      <c r="D121" s="1"/>
      <c r="E121" s="1"/>
      <c r="F121" s="1"/>
      <c r="G121" s="1"/>
      <c r="H121" s="1"/>
      <c r="I121" s="2">
        <f>SUM(J121:Q121)</f>
        <v>3396390837.7399998</v>
      </c>
      <c r="J121" s="2">
        <f>J119-J122</f>
        <v>384505850.44</v>
      </c>
      <c r="K121" s="45">
        <f>K11</f>
        <v>439151691.36000001</v>
      </c>
      <c r="L121" s="29">
        <f>L11</f>
        <v>478637326.44999999</v>
      </c>
      <c r="M121" s="30">
        <f>M11</f>
        <v>1009849945.85</v>
      </c>
      <c r="N121" s="30">
        <f>N11</f>
        <v>524038995</v>
      </c>
      <c r="O121" s="30">
        <f>N121</f>
        <v>524038995</v>
      </c>
      <c r="P121" s="21">
        <f t="shared" ref="P121:Q121" si="36">P119</f>
        <v>19719007.440000001</v>
      </c>
      <c r="Q121" s="21">
        <f t="shared" si="36"/>
        <v>16449026.199999999</v>
      </c>
      <c r="R121" s="49"/>
    </row>
    <row r="122" spans="1:18" ht="38.25" customHeight="1" x14ac:dyDescent="0.25">
      <c r="A122" s="14">
        <v>53</v>
      </c>
      <c r="B122" s="26" t="s">
        <v>32</v>
      </c>
      <c r="C122" s="1"/>
      <c r="D122" s="1"/>
      <c r="E122" s="1"/>
      <c r="F122" s="1"/>
      <c r="G122" s="1"/>
      <c r="H122" s="1"/>
      <c r="I122" s="2">
        <f>J122+K122+L122+M122+N122+O122+P122+Q122</f>
        <v>106509766.19</v>
      </c>
      <c r="J122" s="2">
        <v>6205500</v>
      </c>
      <c r="K122" s="43">
        <f>K13</f>
        <v>44705596.890000001</v>
      </c>
      <c r="L122" s="2">
        <f>L13</f>
        <v>8111483.2999999998</v>
      </c>
      <c r="M122" s="30">
        <f>M62+M61</f>
        <v>41350284</v>
      </c>
      <c r="N122" s="30">
        <f>N13</f>
        <v>3068451</v>
      </c>
      <c r="O122" s="30">
        <f>N122</f>
        <v>3068451</v>
      </c>
      <c r="P122" s="21">
        <v>0</v>
      </c>
      <c r="Q122" s="21">
        <v>0</v>
      </c>
      <c r="R122" s="49"/>
    </row>
    <row r="123" spans="1:18" ht="41.25" customHeight="1" x14ac:dyDescent="0.25">
      <c r="A123" s="14">
        <v>54</v>
      </c>
      <c r="B123" s="39" t="s">
        <v>42</v>
      </c>
      <c r="C123" s="14"/>
      <c r="D123" s="14"/>
      <c r="E123" s="14"/>
      <c r="F123" s="14"/>
      <c r="G123" s="14"/>
      <c r="H123" s="14"/>
      <c r="I123" s="28">
        <f>SUM(J123:M123)</f>
        <v>100438120</v>
      </c>
      <c r="J123" s="46">
        <v>0</v>
      </c>
      <c r="K123" s="43">
        <f>K117</f>
        <v>100438120</v>
      </c>
      <c r="L123" s="28">
        <v>0</v>
      </c>
      <c r="M123" s="30">
        <v>0</v>
      </c>
      <c r="N123" s="30">
        <v>0</v>
      </c>
      <c r="O123" s="30">
        <v>0</v>
      </c>
      <c r="P123" s="21">
        <v>0</v>
      </c>
      <c r="Q123" s="21">
        <v>0</v>
      </c>
      <c r="R123" s="49"/>
    </row>
    <row r="124" spans="1:18" ht="15.75" customHeight="1" x14ac:dyDescent="0.25">
      <c r="B124" s="112"/>
      <c r="C124" s="112"/>
      <c r="D124" s="112"/>
      <c r="I124" s="116"/>
      <c r="J124" s="116"/>
      <c r="K124" s="116"/>
      <c r="L124" s="116"/>
      <c r="R124" s="49"/>
    </row>
    <row r="125" spans="1:18" x14ac:dyDescent="0.25">
      <c r="B125" s="118" t="s">
        <v>100</v>
      </c>
      <c r="C125" s="118"/>
      <c r="D125" s="118"/>
      <c r="I125" s="117"/>
      <c r="J125" s="117"/>
      <c r="K125" s="117"/>
      <c r="L125" s="117"/>
      <c r="P125" s="88" t="s">
        <v>101</v>
      </c>
      <c r="Q125" s="88"/>
    </row>
    <row r="126" spans="1:18" ht="46.5" customHeight="1" x14ac:dyDescent="0.25">
      <c r="B126" s="118"/>
      <c r="C126" s="118"/>
      <c r="D126" s="118"/>
      <c r="P126" s="88"/>
      <c r="Q126" s="88"/>
    </row>
    <row r="127" spans="1:18" ht="30.75" customHeight="1" x14ac:dyDescent="0.25">
      <c r="B127" s="111"/>
      <c r="C127" s="111"/>
      <c r="D127" s="111"/>
    </row>
    <row r="128" spans="1:18" ht="15" customHeight="1" x14ac:dyDescent="0.25">
      <c r="B128" s="111"/>
      <c r="C128" s="111"/>
      <c r="D128" s="111"/>
    </row>
    <row r="129" spans="2:4" x14ac:dyDescent="0.25">
      <c r="B129" s="111"/>
      <c r="C129" s="111"/>
      <c r="D129" s="111"/>
    </row>
  </sheetData>
  <mergeCells count="83">
    <mergeCell ref="C28:C29"/>
    <mergeCell ref="A38:A39"/>
    <mergeCell ref="A69:A74"/>
    <mergeCell ref="B69:B74"/>
    <mergeCell ref="B11:B14"/>
    <mergeCell ref="C11:C14"/>
    <mergeCell ref="C40:C41"/>
    <mergeCell ref="B38:B39"/>
    <mergeCell ref="C38:C39"/>
    <mergeCell ref="A11:A14"/>
    <mergeCell ref="B21:B25"/>
    <mergeCell ref="B28:B29"/>
    <mergeCell ref="B58:B61"/>
    <mergeCell ref="A30:A32"/>
    <mergeCell ref="A21:A25"/>
    <mergeCell ref="I1:L1"/>
    <mergeCell ref="C6:C7"/>
    <mergeCell ref="A6:A7"/>
    <mergeCell ref="B6:B7"/>
    <mergeCell ref="E6:H6"/>
    <mergeCell ref="D6:D7"/>
    <mergeCell ref="I6:Q6"/>
    <mergeCell ref="A5:P5"/>
    <mergeCell ref="A4:P4"/>
    <mergeCell ref="J2:P2"/>
    <mergeCell ref="A113:A114"/>
    <mergeCell ref="B113:B114"/>
    <mergeCell ref="A80:A84"/>
    <mergeCell ref="B85:B90"/>
    <mergeCell ref="B127:D129"/>
    <mergeCell ref="B124:D124"/>
    <mergeCell ref="D86:N86"/>
    <mergeCell ref="I124:L124"/>
    <mergeCell ref="I125:L125"/>
    <mergeCell ref="A111:A112"/>
    <mergeCell ref="B125:D126"/>
    <mergeCell ref="C113:C114"/>
    <mergeCell ref="B103:B104"/>
    <mergeCell ref="C103:C104"/>
    <mergeCell ref="B97:B98"/>
    <mergeCell ref="C97:C98"/>
    <mergeCell ref="C99:C100"/>
    <mergeCell ref="B107:B108"/>
    <mergeCell ref="C107:C108"/>
    <mergeCell ref="B111:B112"/>
    <mergeCell ref="C111:C112"/>
    <mergeCell ref="B101:B102"/>
    <mergeCell ref="C101:C102"/>
    <mergeCell ref="B105:B106"/>
    <mergeCell ref="C105:C106"/>
    <mergeCell ref="C109:C110"/>
    <mergeCell ref="D21:L21"/>
    <mergeCell ref="A85:A90"/>
    <mergeCell ref="B109:B110"/>
    <mergeCell ref="A107:A108"/>
    <mergeCell ref="A109:A110"/>
    <mergeCell ref="A105:A106"/>
    <mergeCell ref="A96:Q96"/>
    <mergeCell ref="A28:A29"/>
    <mergeCell ref="A35:Q35"/>
    <mergeCell ref="B40:B41"/>
    <mergeCell ref="D44:L44"/>
    <mergeCell ref="B43:B48"/>
    <mergeCell ref="D69:D74"/>
    <mergeCell ref="B80:B84"/>
    <mergeCell ref="A75:A79"/>
    <mergeCell ref="B99:B100"/>
    <mergeCell ref="B75:B79"/>
    <mergeCell ref="D75:D79"/>
    <mergeCell ref="P125:Q126"/>
    <mergeCell ref="B10:Q10"/>
    <mergeCell ref="A103:A104"/>
    <mergeCell ref="A97:A98"/>
    <mergeCell ref="A99:A100"/>
    <mergeCell ref="A101:A102"/>
    <mergeCell ref="A40:A41"/>
    <mergeCell ref="A43:A48"/>
    <mergeCell ref="A58:A61"/>
    <mergeCell ref="A51:A57"/>
    <mergeCell ref="B51:B57"/>
    <mergeCell ref="B30:B32"/>
    <mergeCell ref="C30:C32"/>
    <mergeCell ref="D59:L59"/>
  </mergeCells>
  <pageMargins left="0.70866141732283472" right="0" top="0.9055118110236221" bottom="0.74803149606299213" header="0.70866141732283472" footer="0.31496062992125984"/>
  <pageSetup paperSize="9" scale="37" fitToHeight="0" orientation="landscape" r:id="rId1"/>
  <headerFooter>
    <oddHeader>&amp;C&amp;P</oddHeader>
  </headerFooter>
  <rowBreaks count="6" manualBreakCount="6">
    <brk id="20" max="16" man="1"/>
    <brk id="34" max="16" man="1"/>
    <brk id="50" max="16" man="1"/>
    <brk id="79" max="16" man="1"/>
    <brk id="100" max="16" man="1"/>
    <brk id="12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2019-12-04T07:47:04Z</dcterms:modified>
</cp:coreProperties>
</file>